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1" activeTab="5"/>
  </bookViews>
  <sheets>
    <sheet name="Лист5" sheetId="1" state="hidden" r:id="rId1"/>
    <sheet name="март-май 2024" sheetId="2" r:id="rId2"/>
    <sheet name="завтрак" sheetId="3" r:id="rId3"/>
    <sheet name="обед" sheetId="4" r:id="rId4"/>
    <sheet name="полдник" sheetId="5" r:id="rId5"/>
    <sheet name="Расчет" sheetId="6" r:id="rId6"/>
    <sheet name="остатки" sheetId="7" r:id="rId7"/>
  </sheets>
  <definedNames>
    <definedName name="_xlnm.Print_Area" localSheetId="1">'март-май 2024'!$B$1:$N$479</definedName>
    <definedName name="_xlnm.Print_Area" localSheetId="5">'Расчет'!$A$1:$T$64</definedName>
  </definedNames>
  <calcPr fullCalcOnLoad="1" fullPrecision="0"/>
</workbook>
</file>

<file path=xl/sharedStrings.xml><?xml version="1.0" encoding="utf-8"?>
<sst xmlns="http://schemas.openxmlformats.org/spreadsheetml/2006/main" count="949" uniqueCount="238">
  <si>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</si>
  <si>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</si>
  <si>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</si>
  <si>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</si>
  <si>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</si>
  <si>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</si>
  <si>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</si>
  <si>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</si>
  <si>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</si>
  <si>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</si>
  <si>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</si>
  <si>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</si>
  <si>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</si>
  <si>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</si>
  <si>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</si>
  <si>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</si>
  <si>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</si>
  <si>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</si>
  <si>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</si>
  <si>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</si>
  <si>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</si>
  <si>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</si>
  <si>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</si>
  <si>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</si>
  <si>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</si>
  <si>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</si>
  <si>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</si>
  <si>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томат паста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</si>
  <si>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</si>
  <si>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</si>
  <si>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</si>
  <si>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</si>
  <si>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</si>
  <si>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</si>
  <si>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</si>
  <si>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</si>
  <si>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</si>
  <si>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</si>
  <si>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</si>
  <si>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</si>
  <si>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</si>
  <si>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</si>
  <si>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</si>
  <si>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</si>
  <si>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</si>
  <si>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</si>
  <si>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</si>
  <si>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</si>
  <si>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</si>
  <si>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Макароны (высший сорт)</t>
  </si>
  <si>
    <t>Вермишель (высший сорт)</t>
  </si>
  <si>
    <t>чай сухой</t>
  </si>
  <si>
    <t>Итого</t>
  </si>
  <si>
    <t>Наименование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</si>
  <si>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</si>
  <si>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</si>
  <si>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</si>
  <si>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</si>
  <si>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</si>
  <si>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</si>
  <si>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</si>
  <si>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</si>
  <si>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</si>
  <si>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</si>
  <si>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</si>
  <si>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</si>
  <si>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</si>
  <si>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Остатки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</si>
  <si>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</si>
  <si>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</si>
  <si>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</si>
  <si>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</si>
  <si>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</si>
  <si>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</si>
  <si>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мука пшеничная</t>
  </si>
  <si>
    <t>Суп картофельный с</t>
  </si>
  <si>
    <t>курица</t>
  </si>
  <si>
    <t>вермишель</t>
  </si>
  <si>
    <t>минтай</t>
  </si>
  <si>
    <t>По меню</t>
  </si>
  <si>
    <t>Соль йодированная</t>
  </si>
  <si>
    <t>крупа рисовая</t>
  </si>
  <si>
    <t>Свекольник со сметаной</t>
  </si>
  <si>
    <t>Плов из курицы</t>
  </si>
  <si>
    <t>Масло растительное, рафинированное</t>
  </si>
  <si>
    <t>Лук репчатый (1 сорт)</t>
  </si>
  <si>
    <t>Какао порошок</t>
  </si>
  <si>
    <t xml:space="preserve">чай сухой </t>
  </si>
  <si>
    <t>Пюре картофельное</t>
  </si>
  <si>
    <t xml:space="preserve">курица </t>
  </si>
  <si>
    <t>творог</t>
  </si>
  <si>
    <t>Каша рисовая молочная</t>
  </si>
  <si>
    <t>Лавровый лист</t>
  </si>
  <si>
    <t>лавровый лист</t>
  </si>
  <si>
    <t xml:space="preserve">Борщ из свежей капусты со </t>
  </si>
  <si>
    <t>сметаной</t>
  </si>
  <si>
    <t>молоко сгущенное</t>
  </si>
  <si>
    <t>огурцы соленые</t>
  </si>
  <si>
    <t>витамин С</t>
  </si>
  <si>
    <t>полдник</t>
  </si>
  <si>
    <t>Мясо птицы (1 категории)</t>
  </si>
  <si>
    <t>Яйцо (1 сорт)</t>
  </si>
  <si>
    <t>Молоко пастеризованное (2,5%)</t>
  </si>
  <si>
    <t>Творог (5%)</t>
  </si>
  <si>
    <t>Капуста белокачанная (1 сорт)</t>
  </si>
  <si>
    <t>Морковь (1 сорт)</t>
  </si>
  <si>
    <t>Свекла (1 сорт)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</si>
  <si>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</si>
  <si>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</si>
  <si>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</si>
  <si>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</si>
  <si>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</si>
  <si>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</si>
  <si>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</si>
  <si>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Мука пшеничная (высший сорт)</t>
  </si>
  <si>
    <t>Дрожжи сухие</t>
  </si>
  <si>
    <t>Кофейный напиток (ячменный)</t>
  </si>
  <si>
    <t>Чай черный (1 сорт)</t>
  </si>
  <si>
    <t>Всего полдник</t>
  </si>
  <si>
    <t>Завтрак</t>
  </si>
  <si>
    <t xml:space="preserve"> Обед</t>
  </si>
  <si>
    <t>Всего обеды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</si>
  <si>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</si>
  <si>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</si>
  <si>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</si>
  <si>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</si>
  <si>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</si>
  <si>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гречневая</t>
  </si>
  <si>
    <t>Каша гречневая гарнир</t>
  </si>
  <si>
    <t>Итого за день:</t>
  </si>
  <si>
    <t>Птица тушеная с соусом</t>
  </si>
  <si>
    <t>куры</t>
  </si>
  <si>
    <t xml:space="preserve">Сок фруктовый </t>
  </si>
  <si>
    <t>сок</t>
  </si>
  <si>
    <t>Дата</t>
  </si>
  <si>
    <t>Исп. Вед.технолог по пит.</t>
  </si>
  <si>
    <t>Каша пшенная гарнир</t>
  </si>
  <si>
    <t>пшено</t>
  </si>
  <si>
    <t>Суп картофельный с горохом</t>
  </si>
  <si>
    <t>Икра кабачковая</t>
  </si>
  <si>
    <t>икра</t>
  </si>
  <si>
    <t>Суп картофельный с клецками</t>
  </si>
  <si>
    <t>Бефстроганов из говядины</t>
  </si>
  <si>
    <t xml:space="preserve">говядина </t>
  </si>
  <si>
    <t>дрожжи</t>
  </si>
  <si>
    <t xml:space="preserve">Запеканка творожная со </t>
  </si>
  <si>
    <t>сгущенным молоком</t>
  </si>
  <si>
    <t>Булочка "Домашняя"</t>
  </si>
  <si>
    <t>№ рецептуры</t>
  </si>
  <si>
    <t>соль йод</t>
  </si>
  <si>
    <t>хлеб зам. сух</t>
  </si>
  <si>
    <t>Прохладный КБР" Калинина А.Е.</t>
  </si>
  <si>
    <t>ед. изм.</t>
  </si>
  <si>
    <t>Калинина А.Е.</t>
  </si>
  <si>
    <t>Сахар-песок</t>
  </si>
  <si>
    <t>Сметана (15%)</t>
  </si>
  <si>
    <t>Молоко сгущенное цельное с сахаром (8,5%)</t>
  </si>
  <si>
    <t>Картофель (1 сорт)</t>
  </si>
  <si>
    <t>дрожжи сухие</t>
  </si>
  <si>
    <t>Пицца "Школьная"</t>
  </si>
  <si>
    <t>птица отварная</t>
  </si>
  <si>
    <t>Суп картофельный с гречкой</t>
  </si>
  <si>
    <t>гречка</t>
  </si>
  <si>
    <t>вермишелью</t>
  </si>
  <si>
    <t>Каша пшеничная гарнир</t>
  </si>
  <si>
    <t>крупа пшеничная</t>
  </si>
  <si>
    <t>Яйцо отварное</t>
  </si>
  <si>
    <t>Пирожок печеный</t>
  </si>
  <si>
    <t>с картофелем</t>
  </si>
  <si>
    <t>Булочка городская</t>
  </si>
  <si>
    <t xml:space="preserve">Пирожок печенный                 </t>
  </si>
  <si>
    <t>с капустой</t>
  </si>
  <si>
    <t xml:space="preserve">Оладьи запеченные </t>
  </si>
  <si>
    <t>с повидлом</t>
  </si>
  <si>
    <t>повидло</t>
  </si>
  <si>
    <t>Ватрушка с творогом</t>
  </si>
  <si>
    <t>Булочка с изюмом</t>
  </si>
  <si>
    <t>изюм</t>
  </si>
  <si>
    <t>Коржик</t>
  </si>
  <si>
    <t>со сметаной</t>
  </si>
  <si>
    <t>200/10</t>
  </si>
  <si>
    <t>60/50</t>
  </si>
  <si>
    <t>Мясо говядины без кости (1 категории)</t>
  </si>
  <si>
    <t>Икра кабачковая для дет. питания</t>
  </si>
  <si>
    <t>Рыба с/м (1 сорт), минтай</t>
  </si>
  <si>
    <t>Крупа гречневая, в инд. уп.</t>
  </si>
  <si>
    <t>Крупа манная (1 сорт), в инд. уп.</t>
  </si>
  <si>
    <t>Рис (1 сорт), в инд. уп.</t>
  </si>
  <si>
    <t>Крупа пшеничная (1 сорт), в инд уп.</t>
  </si>
  <si>
    <t>Пшено (1 сорт), в инд. уп.</t>
  </si>
  <si>
    <t>Горох шлифованный, в инд. уп.</t>
  </si>
  <si>
    <t>Крупа перловая, в инд. уп.</t>
  </si>
  <si>
    <t>Крупа ячневая, в инд. уп.</t>
  </si>
  <si>
    <t>Хлопья "Геркулес", в инд. уп.</t>
  </si>
  <si>
    <t>Пряник 1 сорт</t>
  </si>
  <si>
    <t>Печенье в ассортименте</t>
  </si>
  <si>
    <t>Омлет натуральный</t>
  </si>
  <si>
    <t>Каша гречневая молочная</t>
  </si>
  <si>
    <t>Каша ячневая гарнир</t>
  </si>
  <si>
    <t>крупа ячневая</t>
  </si>
  <si>
    <t>Картофель тушенный</t>
  </si>
  <si>
    <t>Лапшевник с творогом</t>
  </si>
  <si>
    <t>со сгущенным молоком</t>
  </si>
  <si>
    <t>хлеб зам. сух.</t>
  </si>
  <si>
    <t>молоко сгущ</t>
  </si>
  <si>
    <t>НАИМЕНОВАНИЕ ПРОДУКТОВ</t>
  </si>
  <si>
    <t>Кол-во</t>
  </si>
  <si>
    <t>Зав.столовой, повар  ____________________________________</t>
  </si>
  <si>
    <t>80/10</t>
  </si>
  <si>
    <t>Огурцы соленые в нарезке</t>
  </si>
  <si>
    <t>огурец соленый</t>
  </si>
  <si>
    <t>Полдник</t>
  </si>
  <si>
    <t>Огурцы консервированные без уксуса (1 с)</t>
  </si>
  <si>
    <t>Лимон свежий (1 сорт)</t>
  </si>
  <si>
    <t>Куры запеченные</t>
  </si>
  <si>
    <t>Рис отварной</t>
  </si>
  <si>
    <t xml:space="preserve">Рыба запеченная с сыром и луком </t>
  </si>
  <si>
    <t>Картофель по-деревенски</t>
  </si>
  <si>
    <t>хлеб зам.сух</t>
  </si>
  <si>
    <t>Шницель</t>
  </si>
  <si>
    <t>Суп фасолевый</t>
  </si>
  <si>
    <t>фасоль</t>
  </si>
  <si>
    <t>Рыба запеченная</t>
  </si>
  <si>
    <t>Фасоль сухая (1 сорт)</t>
  </si>
  <si>
    <t>Котлета  из говядины с соусом</t>
  </si>
  <si>
    <t>Каша манная молочная</t>
  </si>
  <si>
    <t>крупа манная</t>
  </si>
  <si>
    <t>Макаронник с мясом</t>
  </si>
  <si>
    <t>Макароны запеченные с сыром</t>
  </si>
  <si>
    <t>весенний период школы 2024 г. (7-11 лет)</t>
  </si>
  <si>
    <t>110/10</t>
  </si>
  <si>
    <t>Макароны отварные с сыром</t>
  </si>
  <si>
    <t>лимон</t>
  </si>
  <si>
    <t>Чай с лимоном</t>
  </si>
  <si>
    <t>95/10</t>
  </si>
  <si>
    <t>Таблица расчета необходимого количества продуктов питания для МБОУ "Гимназия № 6" на март - май 2024 г. (абон. питание)</t>
  </si>
  <si>
    <t>Примерные остатки продуктов на 1 марта 2024 г Гимназия № 6</t>
  </si>
  <si>
    <t>абон. питание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</si>
</sst>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3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2" fontId="8" fillId="34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2" fontId="10" fillId="34" borderId="10" xfId="0" applyNumberFormat="1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2" fontId="11" fillId="34" borderId="14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4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9" fillId="0" borderId="10" xfId="0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9" fontId="9" fillId="0" borderId="11" xfId="57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11" fillId="11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10" fillId="33" borderId="11" xfId="0" applyNumberFormat="1" applyFont="1" applyFill="1" applyBorder="1" applyAlignment="1">
      <alignment horizontal="right" wrapText="1"/>
    </xf>
    <xf numFmtId="2" fontId="10" fillId="33" borderId="19" xfId="0" applyNumberFormat="1" applyFont="1" applyFill="1" applyBorder="1" applyAlignment="1">
      <alignment horizontal="right" wrapText="1"/>
    </xf>
    <xf numFmtId="2" fontId="10" fillId="33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0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0" fillId="35" borderId="1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V480"/>
  <sheetViews>
    <sheetView workbookViewId="0" topLeftCell="A1">
      <selection activeCell="D2" sqref="D2:H2"/>
    </sheetView>
  </sheetViews>
  <sheetFormatPr defaultColWidth="9.00390625" defaultRowHeight="12.75"/>
  <cols>
    <col min="1" max="1" width="3.125" style="1" customWidth="1"/>
    <col min="2" max="2" width="3.875" style="1" bestFit="1" customWidth="1"/>
    <col min="3" max="3" width="36.375" style="97" customWidth="1"/>
    <col min="4" max="4" width="8.25390625" style="97" customWidth="1"/>
    <col min="5" max="5" width="19.75390625" style="97" customWidth="1"/>
    <col min="6" max="7" width="10.625" style="97" customWidth="1"/>
    <col min="8" max="8" width="10.75390625" style="97" customWidth="1"/>
    <col min="9" max="9" width="12.125" style="97" customWidth="1"/>
    <col min="10" max="10" width="9.00390625" style="97" customWidth="1"/>
    <col min="11" max="11" width="9.375" style="97" customWidth="1"/>
    <col min="12" max="12" width="11.25390625" style="97" customWidth="1"/>
    <col min="13" max="13" width="9.75390625" style="97" customWidth="1"/>
    <col min="14" max="14" width="11.625" style="171" customWidth="1"/>
    <col min="15" max="15" width="10.25390625" style="158" customWidth="1"/>
    <col min="16" max="16" width="41.875" style="1" customWidth="1"/>
    <col min="17" max="17" width="5.25390625" style="1" customWidth="1"/>
    <col min="18" max="18" width="10.375" style="1" customWidth="1"/>
    <col min="19" max="19" width="9.125" style="1" customWidth="1"/>
    <col min="20" max="20" width="13.25390625" style="1" customWidth="1"/>
    <col min="21" max="16384" width="9.125" style="1" customWidth="1"/>
  </cols>
  <sheetData>
    <row r="1" spans="3:6" ht="15">
      <c r="C1" s="99"/>
      <c r="D1" s="100"/>
      <c r="E1" s="100"/>
      <c r="F1" s="101"/>
    </row>
    <row r="2" spans="3:8" ht="15">
      <c r="C2" s="102"/>
      <c r="D2" s="284" t="s">
        <v>229</v>
      </c>
      <c r="E2" s="285"/>
      <c r="F2" s="285"/>
      <c r="G2" s="286"/>
      <c r="H2" s="286"/>
    </row>
    <row r="3" spans="2:14" ht="15">
      <c r="B3" s="12"/>
      <c r="C3" s="103" t="s">
        <v>65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60"/>
    </row>
    <row r="4" spans="2:14" ht="28.5">
      <c r="B4" s="265" t="s">
        <v>3</v>
      </c>
      <c r="C4" s="105"/>
      <c r="D4" s="106" t="s">
        <v>4</v>
      </c>
      <c r="E4" s="267" t="s">
        <v>29</v>
      </c>
      <c r="F4" s="107" t="s">
        <v>12</v>
      </c>
      <c r="G4" s="107" t="s">
        <v>58</v>
      </c>
      <c r="H4" s="107" t="s">
        <v>30</v>
      </c>
      <c r="I4" s="107" t="s">
        <v>31</v>
      </c>
      <c r="J4" s="269" t="s">
        <v>70</v>
      </c>
      <c r="K4" s="269" t="s">
        <v>71</v>
      </c>
      <c r="L4" s="269" t="s">
        <v>72</v>
      </c>
      <c r="M4" s="269" t="s">
        <v>73</v>
      </c>
      <c r="N4" s="272" t="s">
        <v>148</v>
      </c>
    </row>
    <row r="5" spans="2:18" ht="15">
      <c r="B5" s="274"/>
      <c r="C5" s="108" t="s">
        <v>0</v>
      </c>
      <c r="D5" s="109" t="s">
        <v>32</v>
      </c>
      <c r="E5" s="268"/>
      <c r="F5" s="109" t="s">
        <v>32</v>
      </c>
      <c r="G5" s="109" t="s">
        <v>32</v>
      </c>
      <c r="H5" s="109" t="s">
        <v>33</v>
      </c>
      <c r="I5" s="109" t="s">
        <v>34</v>
      </c>
      <c r="J5" s="275"/>
      <c r="K5" s="275"/>
      <c r="L5" s="275"/>
      <c r="M5" s="275"/>
      <c r="N5" s="277"/>
      <c r="P5" s="39" t="s">
        <v>101</v>
      </c>
      <c r="Q5" s="4" t="s">
        <v>48</v>
      </c>
      <c r="R5" s="32">
        <v>13.5</v>
      </c>
    </row>
    <row r="6" spans="2:18" ht="15">
      <c r="B6" s="3">
        <v>1</v>
      </c>
      <c r="C6" s="124" t="s">
        <v>197</v>
      </c>
      <c r="D6" s="109">
        <v>180</v>
      </c>
      <c r="E6" s="132" t="s">
        <v>127</v>
      </c>
      <c r="F6" s="7">
        <v>22</v>
      </c>
      <c r="G6" s="105">
        <v>22</v>
      </c>
      <c r="H6" s="110">
        <f>R37</f>
        <v>85</v>
      </c>
      <c r="I6" s="111">
        <f aca="true" t="shared" si="0" ref="I6:I18">F6*H6/1000</f>
        <v>1.87</v>
      </c>
      <c r="J6" s="111"/>
      <c r="K6" s="111"/>
      <c r="L6" s="111"/>
      <c r="M6" s="111"/>
      <c r="N6" s="156"/>
      <c r="O6" s="98"/>
      <c r="P6" s="40" t="s">
        <v>182</v>
      </c>
      <c r="Q6" s="4" t="s">
        <v>44</v>
      </c>
      <c r="R6" s="4">
        <v>622</v>
      </c>
    </row>
    <row r="7" spans="2:18" ht="15" customHeight="1">
      <c r="B7" s="3"/>
      <c r="C7" s="124"/>
      <c r="D7" s="113"/>
      <c r="E7" s="132" t="s">
        <v>10</v>
      </c>
      <c r="F7" s="7">
        <v>120</v>
      </c>
      <c r="G7" s="105">
        <v>120</v>
      </c>
      <c r="H7" s="110">
        <f>R10</f>
        <v>72</v>
      </c>
      <c r="I7" s="111">
        <f>F7*H7/1000</f>
        <v>8.64</v>
      </c>
      <c r="J7" s="192"/>
      <c r="K7" s="192"/>
      <c r="L7" s="192"/>
      <c r="M7" s="162"/>
      <c r="N7" s="156"/>
      <c r="O7" s="98"/>
      <c r="P7" s="40" t="s">
        <v>100</v>
      </c>
      <c r="Q7" s="4" t="s">
        <v>44</v>
      </c>
      <c r="R7" s="4">
        <v>292</v>
      </c>
    </row>
    <row r="8" spans="2:18" ht="15" customHeight="1">
      <c r="B8" s="3"/>
      <c r="C8" s="124"/>
      <c r="D8" s="113"/>
      <c r="E8" s="132" t="s">
        <v>28</v>
      </c>
      <c r="F8" s="7">
        <v>4</v>
      </c>
      <c r="G8" s="105">
        <v>4</v>
      </c>
      <c r="H8" s="165">
        <f>R11</f>
        <v>467</v>
      </c>
      <c r="I8" s="111">
        <f t="shared" si="0"/>
        <v>1.87</v>
      </c>
      <c r="J8" s="111"/>
      <c r="K8" s="111"/>
      <c r="L8" s="111"/>
      <c r="M8" s="111"/>
      <c r="N8" s="152"/>
      <c r="O8" s="98"/>
      <c r="P8" s="40"/>
      <c r="Q8" s="4"/>
      <c r="R8" s="4"/>
    </row>
    <row r="9" spans="2:18" ht="15" customHeight="1">
      <c r="B9" s="3"/>
      <c r="C9" s="124"/>
      <c r="D9" s="113"/>
      <c r="E9" s="132" t="s">
        <v>2</v>
      </c>
      <c r="F9" s="7">
        <v>3.5</v>
      </c>
      <c r="G9" s="105">
        <v>3.5</v>
      </c>
      <c r="H9" s="165">
        <f>R46</f>
        <v>85</v>
      </c>
      <c r="I9" s="111">
        <f t="shared" si="0"/>
        <v>0.3</v>
      </c>
      <c r="J9" s="181">
        <v>5.99</v>
      </c>
      <c r="K9" s="209">
        <v>7.53</v>
      </c>
      <c r="L9" s="181">
        <v>22.38</v>
      </c>
      <c r="M9" s="181">
        <v>181.25</v>
      </c>
      <c r="N9" s="152">
        <v>411</v>
      </c>
      <c r="O9" s="98">
        <f>(J9+L9)*4+K9*9</f>
        <v>181.25</v>
      </c>
      <c r="P9" s="39"/>
      <c r="Q9" s="4"/>
      <c r="R9" s="4"/>
    </row>
    <row r="10" spans="2:18" ht="15" customHeight="1">
      <c r="B10" s="3">
        <v>2</v>
      </c>
      <c r="C10" s="112" t="s">
        <v>147</v>
      </c>
      <c r="D10" s="133">
        <v>60</v>
      </c>
      <c r="E10" s="105" t="s">
        <v>74</v>
      </c>
      <c r="F10" s="105">
        <v>38</v>
      </c>
      <c r="G10" s="105">
        <v>38</v>
      </c>
      <c r="H10" s="165">
        <f>R36</f>
        <v>40</v>
      </c>
      <c r="I10" s="111">
        <f t="shared" si="0"/>
        <v>1.52</v>
      </c>
      <c r="J10" s="111"/>
      <c r="K10" s="111"/>
      <c r="L10" s="111"/>
      <c r="M10" s="111"/>
      <c r="N10" s="152"/>
      <c r="O10" s="98"/>
      <c r="P10" s="40" t="s">
        <v>102</v>
      </c>
      <c r="Q10" s="4" t="s">
        <v>45</v>
      </c>
      <c r="R10" s="4">
        <v>72</v>
      </c>
    </row>
    <row r="11" spans="2:18" ht="15" customHeight="1">
      <c r="B11" s="3"/>
      <c r="C11" s="112"/>
      <c r="D11" s="133"/>
      <c r="E11" s="105" t="s">
        <v>2</v>
      </c>
      <c r="F11" s="105">
        <v>5</v>
      </c>
      <c r="G11" s="105">
        <v>5</v>
      </c>
      <c r="H11" s="165">
        <f>R46</f>
        <v>85</v>
      </c>
      <c r="I11" s="111">
        <f t="shared" si="0"/>
        <v>0.43</v>
      </c>
      <c r="J11" s="134"/>
      <c r="K11" s="134"/>
      <c r="L11" s="134"/>
      <c r="M11" s="134"/>
      <c r="N11" s="152"/>
      <c r="O11" s="98"/>
      <c r="P11" s="39" t="s">
        <v>46</v>
      </c>
      <c r="Q11" s="4" t="s">
        <v>44</v>
      </c>
      <c r="R11" s="4">
        <v>467</v>
      </c>
    </row>
    <row r="12" spans="2:18" ht="15" customHeight="1">
      <c r="B12" s="3"/>
      <c r="C12" s="112"/>
      <c r="D12" s="133"/>
      <c r="E12" s="105" t="s">
        <v>10</v>
      </c>
      <c r="F12" s="105">
        <v>14</v>
      </c>
      <c r="G12" s="105">
        <v>14</v>
      </c>
      <c r="H12" s="165">
        <f>R10</f>
        <v>72</v>
      </c>
      <c r="I12" s="111">
        <f t="shared" si="0"/>
        <v>1.01</v>
      </c>
      <c r="J12" s="111"/>
      <c r="K12" s="111"/>
      <c r="L12" s="111"/>
      <c r="M12" s="111"/>
      <c r="N12" s="156"/>
      <c r="O12" s="98"/>
      <c r="P12" s="40" t="s">
        <v>155</v>
      </c>
      <c r="Q12" s="4" t="s">
        <v>44</v>
      </c>
      <c r="R12" s="4">
        <v>199</v>
      </c>
    </row>
    <row r="13" spans="2:18" ht="15" customHeight="1">
      <c r="B13" s="3"/>
      <c r="C13" s="112"/>
      <c r="D13" s="133"/>
      <c r="E13" s="105" t="s">
        <v>28</v>
      </c>
      <c r="F13" s="105">
        <v>1</v>
      </c>
      <c r="G13" s="105">
        <v>1</v>
      </c>
      <c r="H13" s="165">
        <f>R11</f>
        <v>467</v>
      </c>
      <c r="I13" s="111">
        <f t="shared" si="0"/>
        <v>0.47</v>
      </c>
      <c r="J13" s="111"/>
      <c r="K13" s="111"/>
      <c r="L13" s="111"/>
      <c r="M13" s="111"/>
      <c r="N13" s="156"/>
      <c r="O13" s="98"/>
      <c r="P13" s="40"/>
      <c r="Q13" s="4"/>
      <c r="R13" s="4"/>
    </row>
    <row r="14" spans="2:18" ht="15" customHeight="1">
      <c r="B14" s="3"/>
      <c r="C14" s="112"/>
      <c r="D14" s="133"/>
      <c r="E14" s="105" t="s">
        <v>11</v>
      </c>
      <c r="F14" s="105">
        <v>0.1</v>
      </c>
      <c r="G14" s="105">
        <v>0.1</v>
      </c>
      <c r="H14" s="233">
        <f>R5</f>
        <v>13.5</v>
      </c>
      <c r="I14" s="111">
        <f>F14*H14</f>
        <v>1.35</v>
      </c>
      <c r="J14" s="163"/>
      <c r="K14" s="163"/>
      <c r="L14" s="163"/>
      <c r="M14" s="163"/>
      <c r="N14" s="156"/>
      <c r="O14" s="98"/>
      <c r="P14" s="40" t="s">
        <v>103</v>
      </c>
      <c r="Q14" s="4" t="s">
        <v>44</v>
      </c>
      <c r="R14" s="4">
        <v>217</v>
      </c>
    </row>
    <row r="15" spans="2:18" ht="15" customHeight="1">
      <c r="B15" s="3"/>
      <c r="C15" s="112"/>
      <c r="D15" s="133"/>
      <c r="E15" s="105" t="s">
        <v>144</v>
      </c>
      <c r="F15" s="105">
        <v>0.3</v>
      </c>
      <c r="G15" s="105">
        <v>0.3</v>
      </c>
      <c r="H15" s="109">
        <f>R49</f>
        <v>377</v>
      </c>
      <c r="I15" s="111">
        <f t="shared" si="0"/>
        <v>0.11</v>
      </c>
      <c r="J15" s="193"/>
      <c r="K15" s="193"/>
      <c r="L15" s="193"/>
      <c r="M15" s="163"/>
      <c r="N15" s="156"/>
      <c r="O15" s="98"/>
      <c r="P15" s="40" t="s">
        <v>47</v>
      </c>
      <c r="Q15" s="4" t="s">
        <v>44</v>
      </c>
      <c r="R15" s="4">
        <v>543</v>
      </c>
    </row>
    <row r="16" spans="2:18" ht="15" customHeight="1">
      <c r="B16" s="3"/>
      <c r="C16" s="112"/>
      <c r="D16" s="133"/>
      <c r="E16" s="105" t="s">
        <v>26</v>
      </c>
      <c r="F16" s="105">
        <v>2</v>
      </c>
      <c r="G16" s="105">
        <v>2</v>
      </c>
      <c r="H16" s="109">
        <f>R33</f>
        <v>145</v>
      </c>
      <c r="I16" s="111">
        <f t="shared" si="0"/>
        <v>0.29</v>
      </c>
      <c r="J16" s="196">
        <v>4.31</v>
      </c>
      <c r="K16" s="194">
        <v>5.93</v>
      </c>
      <c r="L16" s="194">
        <v>36.8</v>
      </c>
      <c r="M16" s="111">
        <v>217.81</v>
      </c>
      <c r="N16" s="172">
        <v>281</v>
      </c>
      <c r="O16" s="98">
        <f>(J16+L16)*4+K16*9</f>
        <v>217.81</v>
      </c>
      <c r="P16" s="40"/>
      <c r="Q16" s="4"/>
      <c r="R16" s="4"/>
    </row>
    <row r="17" spans="2:18" s="18" customFormat="1" ht="15" customHeight="1">
      <c r="B17" s="3">
        <v>3</v>
      </c>
      <c r="C17" s="112" t="s">
        <v>13</v>
      </c>
      <c r="D17" s="109">
        <v>200</v>
      </c>
      <c r="E17" s="109" t="s">
        <v>14</v>
      </c>
      <c r="F17" s="109">
        <v>1</v>
      </c>
      <c r="G17" s="109">
        <v>1</v>
      </c>
      <c r="H17" s="109">
        <f>R54</f>
        <v>507</v>
      </c>
      <c r="I17" s="111">
        <f t="shared" si="0"/>
        <v>0.51</v>
      </c>
      <c r="J17" s="111"/>
      <c r="K17" s="111"/>
      <c r="L17" s="111"/>
      <c r="M17" s="111"/>
      <c r="N17" s="156"/>
      <c r="O17" s="98"/>
      <c r="P17" s="40" t="s">
        <v>156</v>
      </c>
      <c r="Q17" s="4" t="s">
        <v>44</v>
      </c>
      <c r="R17" s="4">
        <v>247</v>
      </c>
    </row>
    <row r="18" spans="2:18" s="18" customFormat="1" ht="15" customHeight="1">
      <c r="B18" s="3"/>
      <c r="C18" s="112"/>
      <c r="D18" s="109"/>
      <c r="E18" s="109" t="s">
        <v>2</v>
      </c>
      <c r="F18" s="109">
        <v>10</v>
      </c>
      <c r="G18" s="109">
        <v>10</v>
      </c>
      <c r="H18" s="109">
        <f>R46</f>
        <v>85</v>
      </c>
      <c r="I18" s="111">
        <f t="shared" si="0"/>
        <v>0.85</v>
      </c>
      <c r="J18" s="162">
        <v>0.2</v>
      </c>
      <c r="K18" s="162">
        <v>0</v>
      </c>
      <c r="L18" s="162">
        <v>14</v>
      </c>
      <c r="M18" s="162">
        <v>56.8</v>
      </c>
      <c r="N18" s="156">
        <v>376</v>
      </c>
      <c r="O18" s="98">
        <f>(J18+L18)*4+K18*9</f>
        <v>56.8</v>
      </c>
      <c r="P18" s="40" t="s">
        <v>157</v>
      </c>
      <c r="Q18" s="4" t="s">
        <v>44</v>
      </c>
      <c r="R18" s="4">
        <v>54</v>
      </c>
    </row>
    <row r="19" spans="2:18" s="18" customFormat="1" ht="15" customHeight="1">
      <c r="B19" s="3"/>
      <c r="C19" s="112"/>
      <c r="D19" s="109"/>
      <c r="E19" s="109"/>
      <c r="F19" s="109"/>
      <c r="G19" s="109"/>
      <c r="H19" s="109"/>
      <c r="I19" s="111"/>
      <c r="J19" s="111"/>
      <c r="K19" s="111"/>
      <c r="L19" s="111"/>
      <c r="M19" s="111"/>
      <c r="N19" s="156"/>
      <c r="O19" s="98"/>
      <c r="P19" s="40" t="s">
        <v>104</v>
      </c>
      <c r="Q19" s="4" t="s">
        <v>44</v>
      </c>
      <c r="R19" s="4">
        <v>57</v>
      </c>
    </row>
    <row r="20" spans="2:18" ht="15" customHeight="1">
      <c r="B20" s="2"/>
      <c r="C20" s="112"/>
      <c r="D20" s="197"/>
      <c r="E20" s="28"/>
      <c r="F20" s="28"/>
      <c r="G20" s="28"/>
      <c r="H20" s="109"/>
      <c r="I20" s="114">
        <f>SUM(I6:I19)</f>
        <v>19.22</v>
      </c>
      <c r="J20" s="114">
        <f>SUM(J6:J19)</f>
        <v>10.5</v>
      </c>
      <c r="K20" s="114">
        <f>SUM(K6:K19)</f>
        <v>13.46</v>
      </c>
      <c r="L20" s="114">
        <f>SUM(L6:L19)</f>
        <v>73.18</v>
      </c>
      <c r="M20" s="114">
        <f>SUM(M6:M19)</f>
        <v>455.86</v>
      </c>
      <c r="N20" s="159"/>
      <c r="O20" s="98">
        <f>(J20+L20)*4+K20*9</f>
        <v>455.86</v>
      </c>
      <c r="P20" s="40" t="s">
        <v>85</v>
      </c>
      <c r="Q20" s="4" t="s">
        <v>44</v>
      </c>
      <c r="R20" s="4">
        <v>49</v>
      </c>
    </row>
    <row r="21" spans="2:18" ht="15" customHeight="1">
      <c r="B21" s="3"/>
      <c r="C21" s="116" t="s">
        <v>5</v>
      </c>
      <c r="D21" s="105"/>
      <c r="E21" s="105"/>
      <c r="F21" s="109"/>
      <c r="G21" s="109"/>
      <c r="H21" s="109"/>
      <c r="I21" s="117"/>
      <c r="J21" s="111"/>
      <c r="K21" s="111"/>
      <c r="L21" s="111"/>
      <c r="M21" s="111"/>
      <c r="N21" s="156"/>
      <c r="O21" s="98"/>
      <c r="P21" s="40" t="s">
        <v>105</v>
      </c>
      <c r="Q21" s="4" t="s">
        <v>44</v>
      </c>
      <c r="R21" s="4">
        <v>60</v>
      </c>
    </row>
    <row r="22" spans="2:18" ht="15">
      <c r="B22" s="3">
        <v>1</v>
      </c>
      <c r="C22" s="118" t="s">
        <v>82</v>
      </c>
      <c r="D22" s="109" t="s">
        <v>180</v>
      </c>
      <c r="E22" s="105" t="s">
        <v>15</v>
      </c>
      <c r="F22" s="109">
        <v>65</v>
      </c>
      <c r="G22" s="109">
        <v>52</v>
      </c>
      <c r="H22" s="109">
        <f>R22</f>
        <v>51</v>
      </c>
      <c r="I22" s="111">
        <f aca="true" t="shared" si="1" ref="I22:I35">F22*H22/1000</f>
        <v>3.32</v>
      </c>
      <c r="J22" s="111"/>
      <c r="K22" s="111"/>
      <c r="L22" s="111"/>
      <c r="M22" s="111"/>
      <c r="N22" s="156"/>
      <c r="O22" s="98"/>
      <c r="P22" s="40" t="s">
        <v>106</v>
      </c>
      <c r="Q22" s="4" t="s">
        <v>44</v>
      </c>
      <c r="R22" s="4">
        <v>51</v>
      </c>
    </row>
    <row r="23" spans="2:18" ht="15">
      <c r="B23" s="3"/>
      <c r="C23" s="118"/>
      <c r="D23" s="109"/>
      <c r="E23" s="109" t="s">
        <v>7</v>
      </c>
      <c r="F23" s="109">
        <v>53</v>
      </c>
      <c r="G23" s="109">
        <v>34</v>
      </c>
      <c r="H23" s="109">
        <f>R18</f>
        <v>54</v>
      </c>
      <c r="I23" s="111">
        <f t="shared" si="1"/>
        <v>2.86</v>
      </c>
      <c r="J23" s="111"/>
      <c r="K23" s="111"/>
      <c r="L23" s="111"/>
      <c r="M23" s="111"/>
      <c r="N23" s="156"/>
      <c r="O23" s="98"/>
      <c r="P23" s="39" t="s">
        <v>212</v>
      </c>
      <c r="Q23" s="4" t="s">
        <v>44</v>
      </c>
      <c r="R23" s="4">
        <v>74</v>
      </c>
    </row>
    <row r="24" spans="2:18" ht="15">
      <c r="B24" s="3"/>
      <c r="C24" s="118"/>
      <c r="D24" s="109"/>
      <c r="E24" s="109" t="s">
        <v>8</v>
      </c>
      <c r="F24" s="28">
        <v>9</v>
      </c>
      <c r="G24" s="28">
        <v>7</v>
      </c>
      <c r="H24" s="109">
        <f>R21</f>
        <v>60</v>
      </c>
      <c r="I24" s="111">
        <f t="shared" si="1"/>
        <v>0.54</v>
      </c>
      <c r="J24" s="111"/>
      <c r="K24" s="111"/>
      <c r="L24" s="111"/>
      <c r="M24" s="111"/>
      <c r="N24" s="156"/>
      <c r="O24" s="98"/>
      <c r="P24" s="40" t="s">
        <v>183</v>
      </c>
      <c r="Q24" s="4" t="s">
        <v>44</v>
      </c>
      <c r="R24" s="4">
        <v>123</v>
      </c>
    </row>
    <row r="25" spans="2:18" ht="15">
      <c r="B25" s="3"/>
      <c r="C25" s="118"/>
      <c r="D25" s="109"/>
      <c r="E25" s="109" t="s">
        <v>24</v>
      </c>
      <c r="F25" s="120">
        <v>10</v>
      </c>
      <c r="G25" s="120">
        <v>8</v>
      </c>
      <c r="H25" s="109">
        <f>R20</f>
        <v>49</v>
      </c>
      <c r="I25" s="111">
        <f t="shared" si="1"/>
        <v>0.49</v>
      </c>
      <c r="J25" s="111"/>
      <c r="K25" s="111"/>
      <c r="L25" s="111"/>
      <c r="M25" s="111"/>
      <c r="N25" s="156"/>
      <c r="O25" s="98"/>
      <c r="P25" s="40" t="s">
        <v>107</v>
      </c>
      <c r="Q25" s="4" t="s">
        <v>44</v>
      </c>
      <c r="R25" s="4">
        <v>123</v>
      </c>
    </row>
    <row r="26" spans="2:18" ht="15" customHeight="1">
      <c r="B26" s="3"/>
      <c r="C26" s="118"/>
      <c r="D26" s="109"/>
      <c r="E26" s="109" t="s">
        <v>26</v>
      </c>
      <c r="F26" s="109">
        <v>4</v>
      </c>
      <c r="G26" s="109">
        <v>4</v>
      </c>
      <c r="H26" s="109">
        <f>R33</f>
        <v>145</v>
      </c>
      <c r="I26" s="111">
        <f t="shared" si="1"/>
        <v>0.58</v>
      </c>
      <c r="J26" s="111"/>
      <c r="K26" s="111"/>
      <c r="L26" s="111"/>
      <c r="M26" s="111"/>
      <c r="N26" s="156"/>
      <c r="O26" s="98"/>
      <c r="P26" s="40" t="s">
        <v>108</v>
      </c>
      <c r="Q26" s="4" t="s">
        <v>44</v>
      </c>
      <c r="R26" s="4">
        <v>142</v>
      </c>
    </row>
    <row r="27" spans="2:18" ht="15">
      <c r="B27" s="3"/>
      <c r="C27" s="118"/>
      <c r="D27" s="109"/>
      <c r="E27" s="109" t="s">
        <v>18</v>
      </c>
      <c r="F27" s="109">
        <v>2</v>
      </c>
      <c r="G27" s="109">
        <v>2</v>
      </c>
      <c r="H27" s="109">
        <f>R26</f>
        <v>142</v>
      </c>
      <c r="I27" s="111">
        <f t="shared" si="1"/>
        <v>0.28</v>
      </c>
      <c r="J27" s="111"/>
      <c r="K27" s="111"/>
      <c r="L27" s="111"/>
      <c r="M27" s="111"/>
      <c r="N27" s="156"/>
      <c r="O27" s="98"/>
      <c r="P27" s="40" t="s">
        <v>109</v>
      </c>
      <c r="Q27" s="4" t="s">
        <v>44</v>
      </c>
      <c r="R27" s="4">
        <v>110</v>
      </c>
    </row>
    <row r="28" spans="2:18" ht="15">
      <c r="B28" s="10"/>
      <c r="C28" s="241"/>
      <c r="D28" s="3"/>
      <c r="E28" s="109" t="s">
        <v>2</v>
      </c>
      <c r="F28" s="109">
        <v>0.5</v>
      </c>
      <c r="G28" s="109">
        <v>0.5</v>
      </c>
      <c r="H28" s="27">
        <f>R46</f>
        <v>85</v>
      </c>
      <c r="I28" s="111">
        <f t="shared" si="1"/>
        <v>0.04</v>
      </c>
      <c r="J28" s="111"/>
      <c r="K28" s="111"/>
      <c r="L28" s="111"/>
      <c r="M28" s="111"/>
      <c r="N28" s="156"/>
      <c r="O28" s="98"/>
      <c r="P28" s="40" t="s">
        <v>110</v>
      </c>
      <c r="Q28" s="4" t="s">
        <v>44</v>
      </c>
      <c r="R28" s="4">
        <v>172</v>
      </c>
    </row>
    <row r="29" spans="2:18" ht="15" customHeight="1">
      <c r="B29" s="10"/>
      <c r="C29" s="225"/>
      <c r="D29" s="3"/>
      <c r="E29" s="105" t="s">
        <v>9</v>
      </c>
      <c r="F29" s="109">
        <v>10</v>
      </c>
      <c r="G29" s="109">
        <v>10</v>
      </c>
      <c r="H29" s="14">
        <f>R12</f>
        <v>199</v>
      </c>
      <c r="I29" s="111">
        <f t="shared" si="1"/>
        <v>1.99</v>
      </c>
      <c r="J29" s="163">
        <v>2</v>
      </c>
      <c r="K29" s="163">
        <v>5.18</v>
      </c>
      <c r="L29" s="163">
        <v>14.83</v>
      </c>
      <c r="M29" s="163">
        <v>113.94</v>
      </c>
      <c r="N29" s="183">
        <v>55</v>
      </c>
      <c r="O29" s="98">
        <f>(J29+L29)*4+K29*9</f>
        <v>113.94</v>
      </c>
      <c r="P29" s="40" t="s">
        <v>111</v>
      </c>
      <c r="Q29" s="4" t="s">
        <v>44</v>
      </c>
      <c r="R29" s="4">
        <v>140</v>
      </c>
    </row>
    <row r="30" spans="2:18" ht="15" customHeight="1">
      <c r="B30" s="10"/>
      <c r="C30" s="241"/>
      <c r="D30" s="3"/>
      <c r="E30" s="3"/>
      <c r="F30" s="3"/>
      <c r="G30" s="3"/>
      <c r="H30" s="14"/>
      <c r="I30" s="111"/>
      <c r="J30" s="111"/>
      <c r="K30" s="111"/>
      <c r="L30" s="111"/>
      <c r="M30" s="111"/>
      <c r="N30" s="156"/>
      <c r="O30" s="98"/>
      <c r="P30" s="40" t="s">
        <v>43</v>
      </c>
      <c r="Q30" s="4" t="s">
        <v>44</v>
      </c>
      <c r="R30" s="4">
        <v>293</v>
      </c>
    </row>
    <row r="31" spans="2:18" ht="15" customHeight="1">
      <c r="B31" s="10">
        <v>2</v>
      </c>
      <c r="C31" s="241" t="s">
        <v>214</v>
      </c>
      <c r="D31" s="3">
        <v>55</v>
      </c>
      <c r="E31" s="3" t="s">
        <v>76</v>
      </c>
      <c r="F31" s="3">
        <v>83</v>
      </c>
      <c r="G31" s="3">
        <v>63</v>
      </c>
      <c r="H31" s="109">
        <f>R7</f>
        <v>292</v>
      </c>
      <c r="I31" s="111">
        <f t="shared" si="1"/>
        <v>24.24</v>
      </c>
      <c r="J31" s="111"/>
      <c r="K31" s="111"/>
      <c r="L31" s="111"/>
      <c r="M31" s="111"/>
      <c r="N31" s="156"/>
      <c r="O31" s="98"/>
      <c r="P31" s="40" t="s">
        <v>112</v>
      </c>
      <c r="Q31" s="4" t="s">
        <v>44</v>
      </c>
      <c r="R31" s="4">
        <v>147</v>
      </c>
    </row>
    <row r="32" spans="2:18" ht="15">
      <c r="B32" s="3"/>
      <c r="C32" s="225"/>
      <c r="D32" s="3"/>
      <c r="E32" s="3" t="s">
        <v>9</v>
      </c>
      <c r="F32" s="3">
        <v>4</v>
      </c>
      <c r="G32" s="3">
        <v>4</v>
      </c>
      <c r="H32" s="110">
        <f>R12</f>
        <v>199</v>
      </c>
      <c r="I32" s="111">
        <f t="shared" si="1"/>
        <v>0.8</v>
      </c>
      <c r="J32" s="162">
        <v>19.22</v>
      </c>
      <c r="K32" s="163">
        <v>22.47</v>
      </c>
      <c r="L32" s="163">
        <v>3.99</v>
      </c>
      <c r="M32" s="163">
        <v>295.07</v>
      </c>
      <c r="N32" s="206">
        <v>703</v>
      </c>
      <c r="O32" s="98">
        <f>(J32+L32)*4+K32*9</f>
        <v>295.07</v>
      </c>
      <c r="P32" s="40" t="s">
        <v>113</v>
      </c>
      <c r="Q32" s="4" t="s">
        <v>45</v>
      </c>
      <c r="R32" s="4">
        <v>62</v>
      </c>
    </row>
    <row r="33" spans="2:18" ht="15">
      <c r="B33" s="3">
        <v>3</v>
      </c>
      <c r="C33" s="241" t="s">
        <v>228</v>
      </c>
      <c r="D33" s="3">
        <v>150</v>
      </c>
      <c r="E33" s="3" t="s">
        <v>22</v>
      </c>
      <c r="F33" s="3">
        <v>45</v>
      </c>
      <c r="G33" s="3">
        <v>45</v>
      </c>
      <c r="H33" s="110">
        <f>R47</f>
        <v>46</v>
      </c>
      <c r="I33" s="111">
        <f t="shared" si="1"/>
        <v>2.07</v>
      </c>
      <c r="J33" s="111"/>
      <c r="K33" s="111"/>
      <c r="L33" s="111"/>
      <c r="M33" s="111"/>
      <c r="N33" s="156"/>
      <c r="O33" s="98"/>
      <c r="P33" s="40" t="s">
        <v>84</v>
      </c>
      <c r="Q33" s="4" t="s">
        <v>44</v>
      </c>
      <c r="R33" s="4">
        <v>145</v>
      </c>
    </row>
    <row r="34" spans="2:18" ht="15">
      <c r="B34" s="3"/>
      <c r="C34" s="225"/>
      <c r="D34" s="3"/>
      <c r="E34" s="3" t="s">
        <v>23</v>
      </c>
      <c r="F34" s="170">
        <v>11</v>
      </c>
      <c r="G34" s="170">
        <v>11</v>
      </c>
      <c r="H34" s="110">
        <f>R15</f>
        <v>543</v>
      </c>
      <c r="I34" s="111">
        <f t="shared" si="1"/>
        <v>5.97</v>
      </c>
      <c r="J34" s="111"/>
      <c r="K34" s="111"/>
      <c r="L34" s="111"/>
      <c r="M34" s="111"/>
      <c r="N34" s="156"/>
      <c r="O34" s="98"/>
      <c r="P34" s="40" t="s">
        <v>184</v>
      </c>
      <c r="Q34" s="4" t="s">
        <v>44</v>
      </c>
      <c r="R34" s="4">
        <v>210</v>
      </c>
    </row>
    <row r="35" spans="2:18" ht="15">
      <c r="B35" s="3"/>
      <c r="C35" s="225"/>
      <c r="D35" s="3"/>
      <c r="E35" s="3" t="s">
        <v>28</v>
      </c>
      <c r="F35" s="170">
        <v>7</v>
      </c>
      <c r="G35" s="170">
        <v>7</v>
      </c>
      <c r="H35" s="110">
        <f>R11</f>
        <v>467</v>
      </c>
      <c r="I35" s="111">
        <f t="shared" si="1"/>
        <v>3.27</v>
      </c>
      <c r="J35" s="163">
        <v>9.29</v>
      </c>
      <c r="K35" s="163">
        <v>10.01</v>
      </c>
      <c r="L35" s="163">
        <v>22.71</v>
      </c>
      <c r="M35" s="163">
        <v>218.09</v>
      </c>
      <c r="N35" s="206">
        <v>450</v>
      </c>
      <c r="O35" s="98">
        <f>(J35+L35)*4+K35*9</f>
        <v>218.09</v>
      </c>
      <c r="P35" s="73"/>
      <c r="Q35" s="4"/>
      <c r="R35" s="41"/>
    </row>
    <row r="36" spans="2:18" ht="15">
      <c r="B36" s="3"/>
      <c r="C36" s="8"/>
      <c r="D36" s="9"/>
      <c r="E36" s="9"/>
      <c r="F36" s="170"/>
      <c r="G36" s="170"/>
      <c r="H36" s="109"/>
      <c r="I36" s="111"/>
      <c r="J36" s="192"/>
      <c r="K36" s="192"/>
      <c r="L36" s="192"/>
      <c r="M36" s="162"/>
      <c r="N36" s="156"/>
      <c r="O36" s="98"/>
      <c r="P36" s="73" t="s">
        <v>114</v>
      </c>
      <c r="Q36" s="4" t="s">
        <v>44</v>
      </c>
      <c r="R36" s="41">
        <v>40</v>
      </c>
    </row>
    <row r="37" spans="2:18" ht="15">
      <c r="B37" s="3">
        <v>4</v>
      </c>
      <c r="C37" s="112" t="s">
        <v>35</v>
      </c>
      <c r="D37" s="109">
        <v>40</v>
      </c>
      <c r="E37" s="105" t="s">
        <v>19</v>
      </c>
      <c r="F37" s="109">
        <v>40</v>
      </c>
      <c r="G37" s="109">
        <v>40</v>
      </c>
      <c r="H37" s="109">
        <f>R56</f>
        <v>48</v>
      </c>
      <c r="I37" s="111">
        <f>F37*H37/1000</f>
        <v>1.92</v>
      </c>
      <c r="J37" s="163">
        <v>2.45</v>
      </c>
      <c r="K37" s="163">
        <v>7.63</v>
      </c>
      <c r="L37" s="163">
        <v>14.62</v>
      </c>
      <c r="M37" s="163">
        <v>136.95</v>
      </c>
      <c r="N37" s="156"/>
      <c r="O37" s="98">
        <f>(J37+L37)*4+K37*9</f>
        <v>136.95</v>
      </c>
      <c r="P37" s="73" t="s">
        <v>185</v>
      </c>
      <c r="Q37" s="4" t="s">
        <v>44</v>
      </c>
      <c r="R37" s="41">
        <v>85</v>
      </c>
    </row>
    <row r="38" spans="2:18" ht="15">
      <c r="B38" s="3">
        <v>5</v>
      </c>
      <c r="C38" s="112" t="s">
        <v>25</v>
      </c>
      <c r="D38" s="109">
        <v>200</v>
      </c>
      <c r="E38" s="109" t="s">
        <v>20</v>
      </c>
      <c r="F38" s="120">
        <v>12</v>
      </c>
      <c r="G38" s="120">
        <v>12</v>
      </c>
      <c r="H38" s="120">
        <f>R29</f>
        <v>140</v>
      </c>
      <c r="I38" s="111">
        <f>F38*H38/1000</f>
        <v>1.68</v>
      </c>
      <c r="J38" s="111"/>
      <c r="K38" s="111"/>
      <c r="L38" s="111"/>
      <c r="M38" s="111"/>
      <c r="N38" s="156"/>
      <c r="O38" s="98"/>
      <c r="P38" s="73" t="s">
        <v>186</v>
      </c>
      <c r="Q38" s="4" t="s">
        <v>44</v>
      </c>
      <c r="R38" s="41">
        <v>58</v>
      </c>
    </row>
    <row r="39" spans="2:18" ht="15">
      <c r="B39" s="3"/>
      <c r="C39" s="112"/>
      <c r="D39" s="109"/>
      <c r="E39" s="109" t="s">
        <v>2</v>
      </c>
      <c r="F39" s="120">
        <v>11</v>
      </c>
      <c r="G39" s="120">
        <v>11</v>
      </c>
      <c r="H39" s="120">
        <f>R46</f>
        <v>85</v>
      </c>
      <c r="I39" s="111">
        <f>F39*H39/1000</f>
        <v>0.94</v>
      </c>
      <c r="J39" s="194">
        <v>0.04</v>
      </c>
      <c r="K39" s="194">
        <v>0</v>
      </c>
      <c r="L39" s="194">
        <v>24.76</v>
      </c>
      <c r="M39" s="163">
        <v>99.2</v>
      </c>
      <c r="N39" s="156">
        <v>349</v>
      </c>
      <c r="O39" s="98">
        <f>(J39+L39)*4+K39*9</f>
        <v>99.2</v>
      </c>
      <c r="P39" s="73" t="s">
        <v>187</v>
      </c>
      <c r="Q39" s="4" t="s">
        <v>44</v>
      </c>
      <c r="R39" s="41">
        <v>116</v>
      </c>
    </row>
    <row r="40" spans="2:18" ht="15">
      <c r="B40" s="3"/>
      <c r="C40" s="112"/>
      <c r="D40" s="109"/>
      <c r="E40" s="109" t="s">
        <v>98</v>
      </c>
      <c r="F40" s="120">
        <v>0.0005</v>
      </c>
      <c r="G40" s="120">
        <v>0.0005</v>
      </c>
      <c r="H40" s="120"/>
      <c r="I40" s="111"/>
      <c r="J40" s="111"/>
      <c r="K40" s="111"/>
      <c r="L40" s="111"/>
      <c r="M40" s="111"/>
      <c r="N40" s="156"/>
      <c r="O40" s="98"/>
      <c r="P40" s="73" t="s">
        <v>188</v>
      </c>
      <c r="Q40" s="4" t="s">
        <v>44</v>
      </c>
      <c r="R40" s="41">
        <v>58</v>
      </c>
    </row>
    <row r="41" spans="2:18" ht="15">
      <c r="B41" s="3"/>
      <c r="C41" s="112"/>
      <c r="D41" s="109"/>
      <c r="E41" s="109" t="s">
        <v>149</v>
      </c>
      <c r="F41" s="109">
        <v>3</v>
      </c>
      <c r="G41" s="109">
        <v>3</v>
      </c>
      <c r="H41" s="109">
        <f>R50</f>
        <v>27</v>
      </c>
      <c r="I41" s="111">
        <f>F41*H41/1000</f>
        <v>0.08</v>
      </c>
      <c r="J41" s="111"/>
      <c r="K41" s="111"/>
      <c r="L41" s="111"/>
      <c r="M41" s="111"/>
      <c r="N41" s="156"/>
      <c r="O41" s="98"/>
      <c r="P41" s="40" t="s">
        <v>189</v>
      </c>
      <c r="Q41" s="4" t="s">
        <v>44</v>
      </c>
      <c r="R41" s="4">
        <v>57</v>
      </c>
    </row>
    <row r="42" spans="2:18" ht="15">
      <c r="B42" s="3"/>
      <c r="C42" s="112"/>
      <c r="D42" s="109"/>
      <c r="E42" s="109" t="s">
        <v>93</v>
      </c>
      <c r="F42" s="109">
        <v>0.02</v>
      </c>
      <c r="G42" s="109">
        <v>0.02</v>
      </c>
      <c r="H42" s="109">
        <f>R55</f>
        <v>617</v>
      </c>
      <c r="I42" s="111">
        <f>F42*H42/1000</f>
        <v>0.01</v>
      </c>
      <c r="J42" s="111"/>
      <c r="K42" s="111"/>
      <c r="L42" s="111"/>
      <c r="M42" s="111"/>
      <c r="N42" s="156"/>
      <c r="O42" s="98"/>
      <c r="P42" s="40" t="s">
        <v>190</v>
      </c>
      <c r="Q42" s="4" t="s">
        <v>44</v>
      </c>
      <c r="R42" s="4">
        <v>54</v>
      </c>
    </row>
    <row r="43" spans="2:18" ht="15">
      <c r="B43" s="3"/>
      <c r="C43" s="3"/>
      <c r="D43" s="199"/>
      <c r="E43" s="3"/>
      <c r="F43" s="3"/>
      <c r="G43" s="3"/>
      <c r="H43" s="3"/>
      <c r="I43" s="115">
        <f>SUM(I22:I42)</f>
        <v>51.08</v>
      </c>
      <c r="J43" s="115">
        <f>SUM(J22:J42)</f>
        <v>33</v>
      </c>
      <c r="K43" s="115">
        <f>SUM(K22:K42)</f>
        <v>45.29</v>
      </c>
      <c r="L43" s="115">
        <f>SUM(L22:L42)</f>
        <v>80.91</v>
      </c>
      <c r="M43" s="115">
        <f>SUM(M22:M42)</f>
        <v>863.25</v>
      </c>
      <c r="N43" s="159"/>
      <c r="O43" s="98">
        <f>(J43+L43)*4+K43*9</f>
        <v>863.25</v>
      </c>
      <c r="P43" s="40" t="s">
        <v>191</v>
      </c>
      <c r="Q43" s="4" t="s">
        <v>44</v>
      </c>
      <c r="R43" s="4">
        <v>48</v>
      </c>
    </row>
    <row r="44" spans="2:18" s="45" customFormat="1" ht="15">
      <c r="B44" s="19"/>
      <c r="C44" s="121" t="s">
        <v>99</v>
      </c>
      <c r="D44" s="120"/>
      <c r="E44" s="122"/>
      <c r="F44" s="120"/>
      <c r="G44" s="120"/>
      <c r="H44" s="120"/>
      <c r="I44" s="123"/>
      <c r="J44" s="123"/>
      <c r="K44" s="123"/>
      <c r="L44" s="123"/>
      <c r="M44" s="123"/>
      <c r="N44" s="159"/>
      <c r="O44" s="98"/>
      <c r="P44" s="40" t="s">
        <v>192</v>
      </c>
      <c r="Q44" s="4" t="s">
        <v>44</v>
      </c>
      <c r="R44" s="4">
        <v>48</v>
      </c>
    </row>
    <row r="45" spans="2:18" s="45" customFormat="1" ht="15">
      <c r="B45" s="19">
        <v>1</v>
      </c>
      <c r="C45" s="124" t="s">
        <v>167</v>
      </c>
      <c r="D45" s="120">
        <v>100</v>
      </c>
      <c r="E45" s="122" t="s">
        <v>74</v>
      </c>
      <c r="F45" s="120">
        <v>42</v>
      </c>
      <c r="G45" s="120">
        <v>42</v>
      </c>
      <c r="H45" s="120">
        <f>R36</f>
        <v>40</v>
      </c>
      <c r="I45" s="134">
        <f>F45*H45/1000</f>
        <v>1.68</v>
      </c>
      <c r="J45" s="162"/>
      <c r="K45" s="162"/>
      <c r="L45" s="162"/>
      <c r="M45" s="163"/>
      <c r="N45" s="159"/>
      <c r="O45" s="98"/>
      <c r="P45" s="40" t="s">
        <v>193</v>
      </c>
      <c r="Q45" s="4" t="s">
        <v>44</v>
      </c>
      <c r="R45" s="4">
        <v>76</v>
      </c>
    </row>
    <row r="46" spans="2:18" s="45" customFormat="1" ht="15">
      <c r="B46" s="19"/>
      <c r="C46" s="124" t="s">
        <v>168</v>
      </c>
      <c r="D46" s="120"/>
      <c r="E46" s="122" t="s">
        <v>2</v>
      </c>
      <c r="F46" s="120">
        <v>2.5</v>
      </c>
      <c r="G46" s="120">
        <v>2.5</v>
      </c>
      <c r="H46" s="120">
        <f>R46</f>
        <v>85</v>
      </c>
      <c r="I46" s="134">
        <f>F46*H46/1000</f>
        <v>0.21</v>
      </c>
      <c r="J46" s="193"/>
      <c r="K46" s="193"/>
      <c r="L46" s="193"/>
      <c r="M46" s="163"/>
      <c r="N46" s="156"/>
      <c r="O46" s="98"/>
      <c r="P46" s="40" t="s">
        <v>154</v>
      </c>
      <c r="Q46" s="4" t="s">
        <v>44</v>
      </c>
      <c r="R46" s="4">
        <v>85</v>
      </c>
    </row>
    <row r="47" spans="2:18" s="45" customFormat="1" ht="15">
      <c r="B47" s="19"/>
      <c r="C47" s="124"/>
      <c r="D47" s="120"/>
      <c r="E47" s="122" t="s">
        <v>26</v>
      </c>
      <c r="F47" s="120">
        <v>5</v>
      </c>
      <c r="G47" s="120">
        <v>5</v>
      </c>
      <c r="H47" s="120">
        <f>R33</f>
        <v>145</v>
      </c>
      <c r="I47" s="134">
        <f aca="true" t="shared" si="2" ref="I47:I53">F47*H47/1000</f>
        <v>0.73</v>
      </c>
      <c r="J47" s="123"/>
      <c r="K47" s="123"/>
      <c r="L47" s="123"/>
      <c r="M47" s="123"/>
      <c r="N47" s="159"/>
      <c r="O47" s="98"/>
      <c r="P47" s="40" t="s">
        <v>49</v>
      </c>
      <c r="Q47" s="4" t="s">
        <v>44</v>
      </c>
      <c r="R47" s="4">
        <v>46</v>
      </c>
    </row>
    <row r="48" spans="2:18" s="45" customFormat="1" ht="15">
      <c r="B48" s="19"/>
      <c r="C48" s="124"/>
      <c r="D48" s="120"/>
      <c r="E48" s="122" t="s">
        <v>11</v>
      </c>
      <c r="F48" s="120">
        <v>0.16</v>
      </c>
      <c r="G48" s="120">
        <v>0.16</v>
      </c>
      <c r="H48" s="162">
        <f>R5</f>
        <v>13.5</v>
      </c>
      <c r="I48" s="134">
        <f>F48*H48</f>
        <v>2.16</v>
      </c>
      <c r="J48" s="123"/>
      <c r="K48" s="123"/>
      <c r="L48" s="123"/>
      <c r="M48" s="123"/>
      <c r="N48" s="159"/>
      <c r="O48" s="98"/>
      <c r="P48" s="40" t="s">
        <v>50</v>
      </c>
      <c r="Q48" s="4" t="s">
        <v>44</v>
      </c>
      <c r="R48" s="4">
        <v>47</v>
      </c>
    </row>
    <row r="49" spans="2:18" ht="15.75" customHeight="1">
      <c r="B49" s="2"/>
      <c r="C49" s="109"/>
      <c r="D49" s="109"/>
      <c r="E49" s="109" t="s">
        <v>144</v>
      </c>
      <c r="F49" s="109">
        <v>0.5</v>
      </c>
      <c r="G49" s="109">
        <v>0.5</v>
      </c>
      <c r="H49" s="109">
        <f>R49</f>
        <v>377</v>
      </c>
      <c r="I49" s="134">
        <f t="shared" si="2"/>
        <v>0.19</v>
      </c>
      <c r="J49" s="125"/>
      <c r="K49" s="125"/>
      <c r="L49" s="125"/>
      <c r="M49" s="125"/>
      <c r="N49" s="156"/>
      <c r="O49" s="98"/>
      <c r="P49" s="40" t="s">
        <v>115</v>
      </c>
      <c r="Q49" s="4" t="s">
        <v>44</v>
      </c>
      <c r="R49" s="4">
        <v>377</v>
      </c>
    </row>
    <row r="50" spans="2:18" ht="15.75" customHeight="1">
      <c r="B50" s="2"/>
      <c r="C50" s="109"/>
      <c r="D50" s="109"/>
      <c r="E50" s="109" t="s">
        <v>122</v>
      </c>
      <c r="F50" s="109">
        <v>0.5</v>
      </c>
      <c r="G50" s="109">
        <v>0.5</v>
      </c>
      <c r="H50" s="109">
        <f>R50</f>
        <v>27</v>
      </c>
      <c r="I50" s="134">
        <f t="shared" si="2"/>
        <v>0.01</v>
      </c>
      <c r="J50" s="125"/>
      <c r="K50" s="125"/>
      <c r="L50" s="125"/>
      <c r="M50" s="125"/>
      <c r="N50" s="156"/>
      <c r="O50" s="98"/>
      <c r="P50" s="40" t="s">
        <v>80</v>
      </c>
      <c r="Q50" s="4" t="s">
        <v>44</v>
      </c>
      <c r="R50" s="4">
        <v>27</v>
      </c>
    </row>
    <row r="51" spans="2:18" ht="15.75" customHeight="1">
      <c r="B51" s="2"/>
      <c r="C51" s="109"/>
      <c r="D51" s="109"/>
      <c r="E51" s="109" t="s">
        <v>7</v>
      </c>
      <c r="F51" s="109">
        <v>47</v>
      </c>
      <c r="G51" s="109">
        <v>38</v>
      </c>
      <c r="H51" s="109">
        <f>R18</f>
        <v>54</v>
      </c>
      <c r="I51" s="134">
        <f t="shared" si="2"/>
        <v>2.54</v>
      </c>
      <c r="J51" s="125"/>
      <c r="K51" s="125"/>
      <c r="L51" s="125"/>
      <c r="M51" s="125"/>
      <c r="N51" s="156"/>
      <c r="O51" s="98"/>
      <c r="P51" s="40"/>
      <c r="Q51" s="4"/>
      <c r="R51" s="4"/>
    </row>
    <row r="52" spans="2:18" ht="15.75" customHeight="1">
      <c r="B52" s="2"/>
      <c r="C52" s="109"/>
      <c r="D52" s="109"/>
      <c r="E52" s="109" t="s">
        <v>6</v>
      </c>
      <c r="F52" s="109">
        <v>11</v>
      </c>
      <c r="G52" s="109">
        <v>10</v>
      </c>
      <c r="H52" s="109">
        <f>R20</f>
        <v>49</v>
      </c>
      <c r="I52" s="134">
        <f t="shared" si="2"/>
        <v>0.54</v>
      </c>
      <c r="J52" s="125">
        <v>4.61</v>
      </c>
      <c r="K52" s="125">
        <v>8.83</v>
      </c>
      <c r="L52" s="125">
        <v>7.28</v>
      </c>
      <c r="M52" s="125">
        <v>127.03</v>
      </c>
      <c r="N52" s="156">
        <v>1091</v>
      </c>
      <c r="O52" s="98">
        <f>(J52+L52)*4+K52*9</f>
        <v>127.03</v>
      </c>
      <c r="P52" s="40" t="s">
        <v>116</v>
      </c>
      <c r="Q52" s="4" t="s">
        <v>44</v>
      </c>
      <c r="R52" s="4">
        <v>467</v>
      </c>
    </row>
    <row r="53" spans="2:18" ht="15.75" customHeight="1">
      <c r="B53" s="6">
        <v>2</v>
      </c>
      <c r="C53" s="112" t="s">
        <v>132</v>
      </c>
      <c r="D53" s="109">
        <v>180</v>
      </c>
      <c r="E53" s="109" t="s">
        <v>133</v>
      </c>
      <c r="F53" s="120">
        <v>180</v>
      </c>
      <c r="G53" s="120">
        <v>180</v>
      </c>
      <c r="H53" s="109">
        <f>R32</f>
        <v>62</v>
      </c>
      <c r="I53" s="134">
        <f t="shared" si="2"/>
        <v>11.16</v>
      </c>
      <c r="J53" s="125">
        <v>0.93</v>
      </c>
      <c r="K53" s="125">
        <v>0</v>
      </c>
      <c r="L53" s="125">
        <v>21.6</v>
      </c>
      <c r="M53" s="125">
        <v>90.12</v>
      </c>
      <c r="N53" s="152"/>
      <c r="O53" s="98">
        <f>(J53+L53)*4+K53*9</f>
        <v>90.12</v>
      </c>
      <c r="P53" s="40" t="s">
        <v>86</v>
      </c>
      <c r="Q53" s="4" t="s">
        <v>44</v>
      </c>
      <c r="R53" s="4">
        <v>403</v>
      </c>
    </row>
    <row r="54" spans="2:18" ht="15.75" customHeight="1">
      <c r="B54" s="2"/>
      <c r="C54" s="109"/>
      <c r="D54" s="200"/>
      <c r="E54" s="109"/>
      <c r="F54" s="109"/>
      <c r="G54" s="109"/>
      <c r="H54" s="109"/>
      <c r="I54" s="115">
        <f>SUM(I45:I53)</f>
        <v>19.22</v>
      </c>
      <c r="J54" s="115">
        <f>SUM(J45:J53)</f>
        <v>5.54</v>
      </c>
      <c r="K54" s="115">
        <f>SUM(K45:K53)</f>
        <v>8.83</v>
      </c>
      <c r="L54" s="115">
        <f>SUM(L45:L53)</f>
        <v>28.88</v>
      </c>
      <c r="M54" s="115">
        <f>SUM(M45:M53)</f>
        <v>217.15</v>
      </c>
      <c r="N54" s="156"/>
      <c r="O54" s="98">
        <f>(J54+L54)*4+K54*9</f>
        <v>217.15</v>
      </c>
      <c r="P54" s="40" t="s">
        <v>117</v>
      </c>
      <c r="Q54" s="4" t="s">
        <v>44</v>
      </c>
      <c r="R54" s="4">
        <v>507</v>
      </c>
    </row>
    <row r="55" spans="2:18" s="74" customFormat="1" ht="15.75" customHeight="1">
      <c r="B55" s="278" t="s">
        <v>129</v>
      </c>
      <c r="C55" s="279"/>
      <c r="D55" s="279"/>
      <c r="E55" s="279"/>
      <c r="F55" s="279"/>
      <c r="G55" s="279"/>
      <c r="H55" s="279"/>
      <c r="I55" s="280"/>
      <c r="J55" s="115">
        <f>J20+J43+J54</f>
        <v>49.04</v>
      </c>
      <c r="K55" s="115">
        <f>K20+K43+K54</f>
        <v>67.58</v>
      </c>
      <c r="L55" s="115">
        <f>L20+L43+L54</f>
        <v>182.97</v>
      </c>
      <c r="M55" s="115">
        <f>M20+M43+M54</f>
        <v>1536.26</v>
      </c>
      <c r="N55" s="159"/>
      <c r="O55" s="98">
        <f>(J55+L55)*4+K55*9</f>
        <v>1536.26</v>
      </c>
      <c r="P55" s="75" t="s">
        <v>92</v>
      </c>
      <c r="Q55" s="4" t="s">
        <v>44</v>
      </c>
      <c r="R55" s="4">
        <v>617</v>
      </c>
    </row>
    <row r="56" spans="2:18" ht="15">
      <c r="B56" s="168"/>
      <c r="C56" s="168"/>
      <c r="D56" s="168"/>
      <c r="E56" s="168"/>
      <c r="F56" s="168"/>
      <c r="G56" s="168"/>
      <c r="H56" s="168"/>
      <c r="I56" s="168"/>
      <c r="J56" s="141"/>
      <c r="K56" s="141"/>
      <c r="L56" s="141"/>
      <c r="M56" s="141"/>
      <c r="N56" s="161"/>
      <c r="O56" s="98"/>
      <c r="P56" s="40" t="s">
        <v>35</v>
      </c>
      <c r="Q56" s="4" t="s">
        <v>44</v>
      </c>
      <c r="R56" s="4">
        <v>48</v>
      </c>
    </row>
    <row r="57" spans="2:18" ht="15.75" customHeight="1">
      <c r="B57" s="5"/>
      <c r="C57" s="252"/>
      <c r="D57" s="104"/>
      <c r="E57" s="104"/>
      <c r="F57" s="104"/>
      <c r="G57" s="104"/>
      <c r="H57" s="104"/>
      <c r="I57" s="127"/>
      <c r="J57" s="127"/>
      <c r="K57" s="127"/>
      <c r="L57" s="127"/>
      <c r="M57" s="127"/>
      <c r="N57" s="160"/>
      <c r="O57" s="98"/>
      <c r="P57" s="40" t="s">
        <v>194</v>
      </c>
      <c r="Q57" s="4" t="s">
        <v>44</v>
      </c>
      <c r="R57" s="4">
        <v>153</v>
      </c>
    </row>
    <row r="58" spans="2:18" ht="15">
      <c r="B58" s="12"/>
      <c r="C58" s="128" t="s">
        <v>36</v>
      </c>
      <c r="D58" s="129"/>
      <c r="E58" s="129"/>
      <c r="O58" s="98"/>
      <c r="P58" s="40" t="s">
        <v>213</v>
      </c>
      <c r="Q58" s="4" t="s">
        <v>44</v>
      </c>
      <c r="R58" s="4">
        <v>220</v>
      </c>
    </row>
    <row r="59" spans="2:18" ht="29.25">
      <c r="B59" s="265" t="s">
        <v>3</v>
      </c>
      <c r="C59" s="105"/>
      <c r="D59" s="105" t="s">
        <v>4</v>
      </c>
      <c r="E59" s="267" t="s">
        <v>29</v>
      </c>
      <c r="F59" s="107" t="s">
        <v>12</v>
      </c>
      <c r="G59" s="107" t="s">
        <v>58</v>
      </c>
      <c r="H59" s="107" t="s">
        <v>30</v>
      </c>
      <c r="I59" s="107" t="s">
        <v>31</v>
      </c>
      <c r="J59" s="269" t="s">
        <v>70</v>
      </c>
      <c r="K59" s="269" t="s">
        <v>71</v>
      </c>
      <c r="L59" s="269" t="s">
        <v>72</v>
      </c>
      <c r="M59" s="269" t="s">
        <v>73</v>
      </c>
      <c r="N59" s="272" t="s">
        <v>148</v>
      </c>
      <c r="O59" s="98"/>
      <c r="P59" s="40" t="s">
        <v>223</v>
      </c>
      <c r="Q59" s="4" t="s">
        <v>44</v>
      </c>
      <c r="R59" s="4">
        <v>185</v>
      </c>
    </row>
    <row r="60" spans="2:18" ht="15">
      <c r="B60" s="266"/>
      <c r="C60" s="130" t="s">
        <v>0</v>
      </c>
      <c r="D60" s="131" t="s">
        <v>32</v>
      </c>
      <c r="E60" s="268"/>
      <c r="F60" s="132" t="s">
        <v>32</v>
      </c>
      <c r="G60" s="132" t="s">
        <v>32</v>
      </c>
      <c r="H60" s="109" t="s">
        <v>33</v>
      </c>
      <c r="I60" s="109" t="s">
        <v>34</v>
      </c>
      <c r="J60" s="275"/>
      <c r="K60" s="275"/>
      <c r="L60" s="275"/>
      <c r="M60" s="275"/>
      <c r="N60" s="276"/>
      <c r="O60" s="98"/>
      <c r="P60" s="40"/>
      <c r="Q60" s="4"/>
      <c r="R60" s="4"/>
    </row>
    <row r="61" spans="2:18" ht="15">
      <c r="B61" s="3">
        <v>1</v>
      </c>
      <c r="C61" s="124" t="s">
        <v>196</v>
      </c>
      <c r="D61" s="109">
        <v>55</v>
      </c>
      <c r="E61" s="109" t="s">
        <v>11</v>
      </c>
      <c r="F61" s="109">
        <v>1</v>
      </c>
      <c r="G61" s="109">
        <v>40</v>
      </c>
      <c r="H61" s="134">
        <f>R5</f>
        <v>13.5</v>
      </c>
      <c r="I61" s="134">
        <f>F61*H61</f>
        <v>13.5</v>
      </c>
      <c r="J61" s="134"/>
      <c r="K61" s="134"/>
      <c r="L61" s="134"/>
      <c r="M61" s="134"/>
      <c r="N61" s="172"/>
      <c r="O61" s="98"/>
      <c r="P61" s="73"/>
      <c r="Q61" s="4"/>
      <c r="R61" s="4"/>
    </row>
    <row r="62" spans="2:18" ht="15">
      <c r="B62" s="3"/>
      <c r="C62" s="124"/>
      <c r="D62" s="113"/>
      <c r="E62" s="109" t="s">
        <v>10</v>
      </c>
      <c r="F62" s="109">
        <v>16</v>
      </c>
      <c r="G62" s="109">
        <v>16</v>
      </c>
      <c r="H62" s="178">
        <f>R10</f>
        <v>72</v>
      </c>
      <c r="I62" s="134">
        <f>F62*H62/1000</f>
        <v>1.15</v>
      </c>
      <c r="J62" s="134"/>
      <c r="K62" s="134"/>
      <c r="L62" s="134"/>
      <c r="M62" s="134"/>
      <c r="N62" s="172"/>
      <c r="O62" s="98"/>
      <c r="P62" s="73"/>
      <c r="Q62" s="4"/>
      <c r="R62" s="4"/>
    </row>
    <row r="63" spans="2:18" ht="15">
      <c r="B63" s="3"/>
      <c r="C63" s="207"/>
      <c r="D63" s="179"/>
      <c r="E63" s="137" t="s">
        <v>28</v>
      </c>
      <c r="F63" s="120">
        <v>4</v>
      </c>
      <c r="G63" s="180">
        <v>4</v>
      </c>
      <c r="H63" s="178">
        <f>R11</f>
        <v>467</v>
      </c>
      <c r="I63" s="134">
        <f>F63*H63/1000</f>
        <v>1.87</v>
      </c>
      <c r="J63" s="111">
        <v>10.84</v>
      </c>
      <c r="K63" s="111">
        <v>20.15</v>
      </c>
      <c r="L63" s="111">
        <v>1.97</v>
      </c>
      <c r="M63" s="111">
        <v>232.59</v>
      </c>
      <c r="N63" s="177">
        <v>467</v>
      </c>
      <c r="O63" s="98">
        <f>(J63+L63)*4+K63*9</f>
        <v>232.59</v>
      </c>
      <c r="P63" s="224"/>
      <c r="Q63" s="4"/>
      <c r="R63" s="4"/>
    </row>
    <row r="64" spans="2:18" ht="15">
      <c r="B64" s="3">
        <v>2</v>
      </c>
      <c r="C64" s="112" t="s">
        <v>35</v>
      </c>
      <c r="D64" s="109">
        <v>30</v>
      </c>
      <c r="E64" s="109" t="s">
        <v>19</v>
      </c>
      <c r="F64" s="109">
        <v>30</v>
      </c>
      <c r="G64" s="109">
        <v>30</v>
      </c>
      <c r="H64" s="105">
        <f>R56</f>
        <v>48</v>
      </c>
      <c r="I64" s="134">
        <f>F64*H64/1000</f>
        <v>1.44</v>
      </c>
      <c r="J64" s="111">
        <v>1.84</v>
      </c>
      <c r="K64" s="111">
        <v>5.72</v>
      </c>
      <c r="L64" s="111">
        <v>10.97</v>
      </c>
      <c r="M64" s="163">
        <v>102.72</v>
      </c>
      <c r="N64" s="172"/>
      <c r="O64" s="98">
        <f>(J64+L64)*4+K64*9</f>
        <v>102.72</v>
      </c>
      <c r="P64" s="40" t="s">
        <v>195</v>
      </c>
      <c r="Q64" s="4" t="s">
        <v>44</v>
      </c>
      <c r="R64" s="41">
        <v>153</v>
      </c>
    </row>
    <row r="65" spans="2:18" ht="15">
      <c r="B65" s="3">
        <v>3</v>
      </c>
      <c r="C65" s="126" t="s">
        <v>13</v>
      </c>
      <c r="D65" s="109">
        <v>200</v>
      </c>
      <c r="E65" s="109" t="s">
        <v>14</v>
      </c>
      <c r="F65" s="109">
        <v>0.8</v>
      </c>
      <c r="G65" s="109">
        <v>0.8</v>
      </c>
      <c r="H65" s="105">
        <f>R54</f>
        <v>507</v>
      </c>
      <c r="I65" s="134">
        <f>F65*H65/1000</f>
        <v>0.41</v>
      </c>
      <c r="J65" s="111"/>
      <c r="K65" s="111"/>
      <c r="L65" s="111"/>
      <c r="M65" s="111"/>
      <c r="N65" s="156"/>
      <c r="O65" s="98"/>
      <c r="P65" s="76"/>
      <c r="Q65" s="77"/>
      <c r="R65" s="81"/>
    </row>
    <row r="66" spans="2:18" ht="15">
      <c r="B66" s="3"/>
      <c r="C66" s="109"/>
      <c r="D66" s="109"/>
      <c r="E66" s="109" t="s">
        <v>2</v>
      </c>
      <c r="F66" s="109">
        <v>10</v>
      </c>
      <c r="G66" s="109">
        <v>10</v>
      </c>
      <c r="H66" s="178">
        <f>R46</f>
        <v>85</v>
      </c>
      <c r="I66" s="134">
        <f>F66*H66/1000</f>
        <v>0.85</v>
      </c>
      <c r="J66" s="162">
        <v>0.2</v>
      </c>
      <c r="K66" s="162">
        <v>0</v>
      </c>
      <c r="L66" s="162">
        <v>14</v>
      </c>
      <c r="M66" s="162">
        <v>56.8</v>
      </c>
      <c r="N66" s="156">
        <v>376</v>
      </c>
      <c r="O66" s="98">
        <f>(J66+L66)*4+K66*9</f>
        <v>56.8</v>
      </c>
      <c r="P66" s="76"/>
      <c r="Q66" s="77"/>
      <c r="R66" s="81"/>
    </row>
    <row r="67" spans="2:19" ht="15" customHeight="1">
      <c r="B67" s="3"/>
      <c r="C67" s="112"/>
      <c r="D67" s="200"/>
      <c r="E67" s="105"/>
      <c r="F67" s="120"/>
      <c r="G67" s="120"/>
      <c r="H67" s="120"/>
      <c r="I67" s="115">
        <f>SUM(I61:I66)</f>
        <v>19.22</v>
      </c>
      <c r="J67" s="115">
        <f>SUM(J61:J66)</f>
        <v>12.88</v>
      </c>
      <c r="K67" s="115">
        <f>SUM(K61:K66)</f>
        <v>25.87</v>
      </c>
      <c r="L67" s="115">
        <f>SUM(L61:L66)</f>
        <v>26.94</v>
      </c>
      <c r="M67" s="115">
        <f>SUM(M61:M66)</f>
        <v>392.11</v>
      </c>
      <c r="N67" s="159"/>
      <c r="O67" s="98">
        <f>(J67+L67)*4+K67*9</f>
        <v>392.11</v>
      </c>
      <c r="P67" s="76"/>
      <c r="Q67" s="77"/>
      <c r="R67" s="77"/>
      <c r="S67" s="5"/>
    </row>
    <row r="68" spans="2:19" ht="15" customHeight="1">
      <c r="B68" s="3"/>
      <c r="C68" s="116" t="s">
        <v>5</v>
      </c>
      <c r="D68" s="105"/>
      <c r="E68" s="105"/>
      <c r="F68" s="109"/>
      <c r="G68" s="109"/>
      <c r="H68" s="109"/>
      <c r="I68" s="111"/>
      <c r="J68" s="111"/>
      <c r="K68" s="111"/>
      <c r="L68" s="111"/>
      <c r="M68" s="111"/>
      <c r="N68" s="156"/>
      <c r="O68" s="98"/>
      <c r="P68" s="76"/>
      <c r="Q68" s="77"/>
      <c r="R68" s="77"/>
      <c r="S68" s="5"/>
    </row>
    <row r="69" spans="2:19" ht="15" customHeight="1">
      <c r="B69" s="3">
        <v>1</v>
      </c>
      <c r="C69" s="118" t="s">
        <v>75</v>
      </c>
      <c r="D69" s="109">
        <v>200</v>
      </c>
      <c r="E69" s="105" t="s">
        <v>7</v>
      </c>
      <c r="F69" s="109">
        <v>87</v>
      </c>
      <c r="G69" s="109">
        <v>59</v>
      </c>
      <c r="H69" s="109">
        <f>R18</f>
        <v>54</v>
      </c>
      <c r="I69" s="111">
        <f>F69*H69/1000</f>
        <v>4.7</v>
      </c>
      <c r="J69" s="111"/>
      <c r="K69" s="111"/>
      <c r="L69" s="111"/>
      <c r="M69" s="111"/>
      <c r="N69" s="156"/>
      <c r="O69" s="98"/>
      <c r="P69" s="76"/>
      <c r="Q69" s="77"/>
      <c r="R69" s="77"/>
      <c r="S69" s="5"/>
    </row>
    <row r="70" spans="2:19" ht="15" customHeight="1">
      <c r="B70" s="3"/>
      <c r="C70" s="182" t="s">
        <v>163</v>
      </c>
      <c r="D70" s="109"/>
      <c r="E70" s="109" t="s">
        <v>77</v>
      </c>
      <c r="F70" s="109">
        <v>8</v>
      </c>
      <c r="G70" s="109">
        <v>8</v>
      </c>
      <c r="H70" s="109">
        <f>R48</f>
        <v>47</v>
      </c>
      <c r="I70" s="111">
        <f>F70*H70/1000</f>
        <v>0.38</v>
      </c>
      <c r="J70" s="111"/>
      <c r="K70" s="111"/>
      <c r="L70" s="111"/>
      <c r="M70" s="111"/>
      <c r="N70" s="156"/>
      <c r="O70" s="98"/>
      <c r="P70" s="76"/>
      <c r="Q70" s="77"/>
      <c r="R70" s="77"/>
      <c r="S70" s="5"/>
    </row>
    <row r="71" spans="2:19" ht="15" customHeight="1">
      <c r="B71" s="3"/>
      <c r="C71" s="118"/>
      <c r="D71" s="109"/>
      <c r="E71" s="109" t="s">
        <v>8</v>
      </c>
      <c r="F71" s="109">
        <v>10</v>
      </c>
      <c r="G71" s="109">
        <v>8</v>
      </c>
      <c r="H71" s="109">
        <f>R21</f>
        <v>60</v>
      </c>
      <c r="I71" s="111">
        <f>F71*H71/1000</f>
        <v>0.6</v>
      </c>
      <c r="J71" s="111"/>
      <c r="K71" s="111"/>
      <c r="L71" s="111"/>
      <c r="M71" s="111"/>
      <c r="N71" s="156"/>
      <c r="O71" s="98"/>
      <c r="P71" s="76"/>
      <c r="Q71" s="77"/>
      <c r="R71" s="77"/>
      <c r="S71" s="5"/>
    </row>
    <row r="72" spans="2:22" ht="15">
      <c r="B72" s="3"/>
      <c r="C72" s="118"/>
      <c r="D72" s="109"/>
      <c r="E72" s="109" t="s">
        <v>6</v>
      </c>
      <c r="F72" s="109">
        <v>10</v>
      </c>
      <c r="G72" s="109">
        <v>9</v>
      </c>
      <c r="H72" s="109">
        <f>R20</f>
        <v>49</v>
      </c>
      <c r="I72" s="111">
        <f>F72*H72/1000</f>
        <v>0.49</v>
      </c>
      <c r="J72" s="111"/>
      <c r="K72" s="111"/>
      <c r="L72" s="111"/>
      <c r="M72" s="111"/>
      <c r="N72" s="156"/>
      <c r="O72" s="98"/>
      <c r="P72" s="76"/>
      <c r="Q72" s="77"/>
      <c r="R72" s="77"/>
      <c r="S72" s="12"/>
      <c r="T72" s="20"/>
      <c r="U72" s="13"/>
      <c r="V72" s="13"/>
    </row>
    <row r="73" spans="2:22" ht="15">
      <c r="B73" s="3"/>
      <c r="C73" s="118"/>
      <c r="D73" s="109"/>
      <c r="E73" s="105" t="s">
        <v>26</v>
      </c>
      <c r="F73" s="109">
        <v>4</v>
      </c>
      <c r="G73" s="109">
        <v>4</v>
      </c>
      <c r="H73" s="109">
        <f>R33</f>
        <v>145</v>
      </c>
      <c r="I73" s="111">
        <f>F73*H73/1000</f>
        <v>0.58</v>
      </c>
      <c r="J73" s="163">
        <v>2.25</v>
      </c>
      <c r="K73" s="163">
        <v>4.33</v>
      </c>
      <c r="L73" s="163">
        <v>16.21</v>
      </c>
      <c r="M73" s="163">
        <v>112.81</v>
      </c>
      <c r="N73" s="152">
        <v>223</v>
      </c>
      <c r="O73" s="98">
        <f>(J73+L73)*4+K73*9</f>
        <v>112.81</v>
      </c>
      <c r="P73" s="76"/>
      <c r="Q73" s="77"/>
      <c r="R73" s="78"/>
      <c r="S73" s="12"/>
      <c r="T73" s="20"/>
      <c r="U73" s="13"/>
      <c r="V73" s="13"/>
    </row>
    <row r="74" spans="2:22" ht="15">
      <c r="B74" s="3">
        <v>2</v>
      </c>
      <c r="C74" s="112" t="s">
        <v>123</v>
      </c>
      <c r="D74" s="109">
        <v>75</v>
      </c>
      <c r="E74" s="109" t="s">
        <v>16</v>
      </c>
      <c r="F74" s="109">
        <v>54</v>
      </c>
      <c r="G74" s="109">
        <v>54</v>
      </c>
      <c r="H74" s="109">
        <f>R6</f>
        <v>622</v>
      </c>
      <c r="I74" s="111">
        <f aca="true" t="shared" si="3" ref="I74:I81">F74*H74/1000</f>
        <v>33.59</v>
      </c>
      <c r="J74" s="111"/>
      <c r="K74" s="111"/>
      <c r="L74" s="111"/>
      <c r="M74" s="111"/>
      <c r="N74" s="156"/>
      <c r="O74" s="98"/>
      <c r="P74" s="76"/>
      <c r="Q74" s="77"/>
      <c r="R74" s="79"/>
      <c r="S74" s="12"/>
      <c r="T74" s="12"/>
      <c r="U74" s="12"/>
      <c r="V74" s="13"/>
    </row>
    <row r="75" spans="2:22" ht="15">
      <c r="B75" s="3"/>
      <c r="C75" s="112"/>
      <c r="D75" s="109"/>
      <c r="E75" s="105" t="s">
        <v>8</v>
      </c>
      <c r="F75" s="109">
        <v>12</v>
      </c>
      <c r="G75" s="109">
        <v>10</v>
      </c>
      <c r="H75" s="109">
        <f>R21</f>
        <v>60</v>
      </c>
      <c r="I75" s="111">
        <f t="shared" si="3"/>
        <v>0.72</v>
      </c>
      <c r="J75" s="111"/>
      <c r="K75" s="111"/>
      <c r="L75" s="111"/>
      <c r="M75" s="111"/>
      <c r="N75" s="156"/>
      <c r="O75" s="98"/>
      <c r="P75" s="76"/>
      <c r="Q75" s="77"/>
      <c r="R75" s="77"/>
      <c r="S75" s="12"/>
      <c r="T75" s="12"/>
      <c r="U75" s="12"/>
      <c r="V75" s="13"/>
    </row>
    <row r="76" spans="2:19" ht="15">
      <c r="B76" s="3"/>
      <c r="C76" s="112"/>
      <c r="D76" s="109"/>
      <c r="E76" s="105" t="s">
        <v>6</v>
      </c>
      <c r="F76" s="109">
        <v>10</v>
      </c>
      <c r="G76" s="109">
        <v>9</v>
      </c>
      <c r="H76" s="109">
        <f>R20</f>
        <v>49</v>
      </c>
      <c r="I76" s="111">
        <f t="shared" si="3"/>
        <v>0.49</v>
      </c>
      <c r="J76" s="111"/>
      <c r="K76" s="111"/>
      <c r="L76" s="111"/>
      <c r="M76" s="111"/>
      <c r="N76" s="156"/>
      <c r="O76" s="98"/>
      <c r="P76" s="80"/>
      <c r="Q76" s="81"/>
      <c r="R76" s="81"/>
      <c r="S76" s="5"/>
    </row>
    <row r="77" spans="2:19" ht="15">
      <c r="B77" s="3"/>
      <c r="C77" s="112"/>
      <c r="D77" s="109"/>
      <c r="E77" s="105" t="s">
        <v>18</v>
      </c>
      <c r="F77" s="109">
        <v>1</v>
      </c>
      <c r="G77" s="109">
        <v>1</v>
      </c>
      <c r="H77" s="109">
        <f>R26</f>
        <v>142</v>
      </c>
      <c r="I77" s="111">
        <f t="shared" si="3"/>
        <v>0.14</v>
      </c>
      <c r="J77" s="111"/>
      <c r="K77" s="111"/>
      <c r="L77" s="111"/>
      <c r="M77" s="111"/>
      <c r="N77" s="156"/>
      <c r="O77" s="98"/>
      <c r="P77" s="80"/>
      <c r="Q77" s="81"/>
      <c r="R77" s="81"/>
      <c r="S77" s="5"/>
    </row>
    <row r="78" spans="2:19" ht="15">
      <c r="B78" s="3"/>
      <c r="C78" s="112"/>
      <c r="D78" s="109"/>
      <c r="E78" s="105" t="s">
        <v>28</v>
      </c>
      <c r="F78" s="109">
        <v>1</v>
      </c>
      <c r="G78" s="109">
        <v>1</v>
      </c>
      <c r="H78" s="177">
        <f>R11</f>
        <v>467</v>
      </c>
      <c r="I78" s="111">
        <f>F78*H78/1000</f>
        <v>0.47</v>
      </c>
      <c r="J78" s="111"/>
      <c r="K78" s="111"/>
      <c r="L78" s="111"/>
      <c r="M78" s="111"/>
      <c r="N78" s="156"/>
      <c r="O78" s="98"/>
      <c r="P78" s="80"/>
      <c r="Q78" s="81"/>
      <c r="R78" s="81"/>
      <c r="S78" s="5"/>
    </row>
    <row r="79" spans="2:19" ht="15">
      <c r="B79" s="3"/>
      <c r="C79" s="135"/>
      <c r="D79" s="136"/>
      <c r="E79" s="105" t="s">
        <v>74</v>
      </c>
      <c r="F79" s="109">
        <v>3</v>
      </c>
      <c r="G79" s="109">
        <v>3</v>
      </c>
      <c r="H79" s="136">
        <f>R36</f>
        <v>40</v>
      </c>
      <c r="I79" s="111">
        <f t="shared" si="3"/>
        <v>0.12</v>
      </c>
      <c r="J79" s="163">
        <v>10.32</v>
      </c>
      <c r="K79" s="163">
        <v>8.14</v>
      </c>
      <c r="L79" s="163">
        <v>2.61</v>
      </c>
      <c r="M79" s="163">
        <v>124.98</v>
      </c>
      <c r="N79" s="152">
        <v>277</v>
      </c>
      <c r="O79" s="98">
        <f>(J79+L79)*4+K79*9</f>
        <v>124.98</v>
      </c>
      <c r="P79" s="80"/>
      <c r="Q79" s="81"/>
      <c r="R79" s="81"/>
      <c r="S79" s="5"/>
    </row>
    <row r="80" spans="2:19" ht="15">
      <c r="B80" s="3">
        <v>3</v>
      </c>
      <c r="C80" s="135" t="s">
        <v>136</v>
      </c>
      <c r="D80" s="136">
        <v>150</v>
      </c>
      <c r="E80" s="137" t="s">
        <v>137</v>
      </c>
      <c r="F80" s="136">
        <v>44</v>
      </c>
      <c r="G80" s="136">
        <v>44</v>
      </c>
      <c r="H80" s="136">
        <f>R41</f>
        <v>57</v>
      </c>
      <c r="I80" s="111">
        <f t="shared" si="3"/>
        <v>2.51</v>
      </c>
      <c r="J80" s="111"/>
      <c r="K80" s="111"/>
      <c r="L80" s="111"/>
      <c r="M80" s="111"/>
      <c r="N80" s="156"/>
      <c r="O80" s="98"/>
      <c r="P80" s="80"/>
      <c r="Q80" s="81"/>
      <c r="R80" s="81"/>
      <c r="S80" s="5"/>
    </row>
    <row r="81" spans="2:19" ht="15">
      <c r="B81" s="3"/>
      <c r="C81" s="135"/>
      <c r="D81" s="136"/>
      <c r="E81" s="137" t="s">
        <v>28</v>
      </c>
      <c r="F81" s="136">
        <v>5</v>
      </c>
      <c r="G81" s="136">
        <v>5</v>
      </c>
      <c r="H81" s="136">
        <f>R11</f>
        <v>467</v>
      </c>
      <c r="I81" s="111">
        <f t="shared" si="3"/>
        <v>2.34</v>
      </c>
      <c r="J81" s="163">
        <v>3.94</v>
      </c>
      <c r="K81" s="163">
        <v>1.66</v>
      </c>
      <c r="L81" s="163">
        <v>25.05</v>
      </c>
      <c r="M81" s="163">
        <v>130.9</v>
      </c>
      <c r="N81" s="152">
        <v>744</v>
      </c>
      <c r="O81" s="98">
        <f>(J81+L81)*4+K81*9</f>
        <v>130.9</v>
      </c>
      <c r="P81" s="80"/>
      <c r="Q81" s="81"/>
      <c r="R81" s="81"/>
      <c r="S81" s="5"/>
    </row>
    <row r="82" spans="2:19" ht="15">
      <c r="B82" s="3">
        <v>4</v>
      </c>
      <c r="C82" s="135" t="s">
        <v>35</v>
      </c>
      <c r="D82" s="136">
        <v>50</v>
      </c>
      <c r="E82" s="136" t="s">
        <v>19</v>
      </c>
      <c r="F82" s="136">
        <v>50</v>
      </c>
      <c r="G82" s="136">
        <v>50</v>
      </c>
      <c r="H82" s="136">
        <f>R56</f>
        <v>48</v>
      </c>
      <c r="I82" s="138">
        <f>H82*F82/1000</f>
        <v>2.4</v>
      </c>
      <c r="J82" s="193">
        <v>3.06</v>
      </c>
      <c r="K82" s="193">
        <v>9.54</v>
      </c>
      <c r="L82" s="193">
        <v>18.28</v>
      </c>
      <c r="M82" s="163">
        <v>171.22</v>
      </c>
      <c r="N82" s="156">
        <v>1</v>
      </c>
      <c r="O82" s="98">
        <f>(J82+L82)*4+K82*9</f>
        <v>171.22</v>
      </c>
      <c r="P82" s="76"/>
      <c r="Q82" s="77"/>
      <c r="R82" s="79"/>
      <c r="S82" s="5"/>
    </row>
    <row r="83" spans="2:19" ht="15">
      <c r="B83" s="3">
        <v>5</v>
      </c>
      <c r="C83" s="112" t="s">
        <v>13</v>
      </c>
      <c r="D83" s="109">
        <v>200</v>
      </c>
      <c r="E83" s="109" t="s">
        <v>87</v>
      </c>
      <c r="F83" s="109">
        <v>1</v>
      </c>
      <c r="G83" s="109">
        <v>1</v>
      </c>
      <c r="H83" s="109">
        <f>R54</f>
        <v>507</v>
      </c>
      <c r="I83" s="111">
        <f>H83*F83/1000</f>
        <v>0.51</v>
      </c>
      <c r="J83" s="111"/>
      <c r="K83" s="111"/>
      <c r="L83" s="111"/>
      <c r="M83" s="111"/>
      <c r="N83" s="156"/>
      <c r="O83" s="98"/>
      <c r="P83" s="76"/>
      <c r="Q83" s="77"/>
      <c r="R83" s="77"/>
      <c r="S83" s="5"/>
    </row>
    <row r="84" spans="2:19" ht="15">
      <c r="B84" s="3"/>
      <c r="C84" s="112"/>
      <c r="D84" s="109"/>
      <c r="E84" s="109" t="s">
        <v>2</v>
      </c>
      <c r="F84" s="109">
        <v>11</v>
      </c>
      <c r="G84" s="109">
        <v>11</v>
      </c>
      <c r="H84" s="109">
        <f>R46</f>
        <v>85</v>
      </c>
      <c r="I84" s="111">
        <f>H84*F84/1000</f>
        <v>0.94</v>
      </c>
      <c r="J84" s="162">
        <v>0.2</v>
      </c>
      <c r="K84" s="162">
        <v>0</v>
      </c>
      <c r="L84" s="162">
        <v>14</v>
      </c>
      <c r="M84" s="162">
        <v>56.8</v>
      </c>
      <c r="N84" s="156">
        <v>376</v>
      </c>
      <c r="O84" s="98">
        <f>(J84+L84)*4+K84*9</f>
        <v>56.8</v>
      </c>
      <c r="P84" s="80"/>
      <c r="Q84" s="81"/>
      <c r="R84" s="81"/>
      <c r="S84" s="5"/>
    </row>
    <row r="85" spans="2:19" ht="15">
      <c r="B85" s="3"/>
      <c r="C85" s="119"/>
      <c r="D85" s="109"/>
      <c r="E85" s="109" t="s">
        <v>149</v>
      </c>
      <c r="F85" s="109">
        <v>3.5</v>
      </c>
      <c r="G85" s="109">
        <v>3.5</v>
      </c>
      <c r="H85" s="109">
        <f>R50</f>
        <v>27</v>
      </c>
      <c r="I85" s="111">
        <f>H85*F85/1000</f>
        <v>0.09</v>
      </c>
      <c r="J85" s="111"/>
      <c r="K85" s="111"/>
      <c r="L85" s="111"/>
      <c r="M85" s="111"/>
      <c r="N85" s="156"/>
      <c r="O85" s="98"/>
      <c r="P85" s="80"/>
      <c r="Q85" s="81"/>
      <c r="R85" s="81"/>
      <c r="S85" s="5"/>
    </row>
    <row r="86" spans="2:19" ht="15" customHeight="1">
      <c r="B86" s="3"/>
      <c r="C86" s="112"/>
      <c r="D86" s="109"/>
      <c r="E86" s="109" t="s">
        <v>93</v>
      </c>
      <c r="F86" s="109">
        <v>0.02</v>
      </c>
      <c r="G86" s="109">
        <v>0.02</v>
      </c>
      <c r="H86" s="109">
        <f>R55</f>
        <v>617</v>
      </c>
      <c r="I86" s="111">
        <f>H86*F86/1000</f>
        <v>0.01</v>
      </c>
      <c r="J86" s="111"/>
      <c r="K86" s="111"/>
      <c r="L86" s="111"/>
      <c r="M86" s="111"/>
      <c r="N86" s="156"/>
      <c r="O86" s="98"/>
      <c r="P86" s="82"/>
      <c r="Q86" s="81"/>
      <c r="R86" s="83"/>
      <c r="S86" s="5"/>
    </row>
    <row r="87" spans="2:19" ht="15">
      <c r="B87" s="3"/>
      <c r="C87" s="112"/>
      <c r="D87" s="200"/>
      <c r="E87" s="109"/>
      <c r="F87" s="109"/>
      <c r="G87" s="109"/>
      <c r="H87" s="120"/>
      <c r="I87" s="115">
        <f>SUM(I69:I86)</f>
        <v>51.08</v>
      </c>
      <c r="J87" s="115">
        <f>SUM(J69:J86)</f>
        <v>19.77</v>
      </c>
      <c r="K87" s="115">
        <f>SUM(K69:K86)</f>
        <v>23.67</v>
      </c>
      <c r="L87" s="115">
        <f>SUM(L69:L86)</f>
        <v>76.15</v>
      </c>
      <c r="M87" s="115">
        <f>SUM(M69:M86)</f>
        <v>596.71</v>
      </c>
      <c r="N87" s="159"/>
      <c r="O87" s="98">
        <f>(J87+L87)*4+K87*9</f>
        <v>596.71</v>
      </c>
      <c r="P87" s="82"/>
      <c r="Q87" s="81"/>
      <c r="R87" s="83"/>
      <c r="S87" s="5"/>
    </row>
    <row r="88" spans="2:19" s="45" customFormat="1" ht="15">
      <c r="B88" s="19"/>
      <c r="C88" s="121" t="s">
        <v>99</v>
      </c>
      <c r="D88" s="120"/>
      <c r="E88" s="120"/>
      <c r="F88" s="120"/>
      <c r="G88" s="120"/>
      <c r="H88" s="120"/>
      <c r="I88" s="123"/>
      <c r="J88" s="123"/>
      <c r="K88" s="123"/>
      <c r="L88" s="123"/>
      <c r="M88" s="123"/>
      <c r="N88" s="159"/>
      <c r="O88" s="98"/>
      <c r="P88" s="87"/>
      <c r="Q88" s="81"/>
      <c r="R88" s="88"/>
      <c r="S88" s="89"/>
    </row>
    <row r="89" spans="2:19" s="45" customFormat="1" ht="15">
      <c r="B89" s="6">
        <v>1</v>
      </c>
      <c r="C89" s="124" t="s">
        <v>169</v>
      </c>
      <c r="D89" s="120">
        <v>100</v>
      </c>
      <c r="E89" s="120" t="s">
        <v>74</v>
      </c>
      <c r="F89" s="120">
        <v>55</v>
      </c>
      <c r="G89" s="120">
        <v>55</v>
      </c>
      <c r="H89" s="120">
        <f>R36</f>
        <v>40</v>
      </c>
      <c r="I89" s="111">
        <f>H89*F89/1000</f>
        <v>2.2</v>
      </c>
      <c r="J89" s="162"/>
      <c r="K89" s="162"/>
      <c r="L89" s="162"/>
      <c r="M89" s="163"/>
      <c r="N89" s="156"/>
      <c r="O89" s="98"/>
      <c r="P89" s="87"/>
      <c r="Q89" s="81"/>
      <c r="R89" s="88"/>
      <c r="S89" s="89"/>
    </row>
    <row r="90" spans="2:19" s="45" customFormat="1" ht="15">
      <c r="B90" s="164"/>
      <c r="C90" s="121"/>
      <c r="D90" s="120"/>
      <c r="E90" s="120" t="s">
        <v>2</v>
      </c>
      <c r="F90" s="120">
        <v>1</v>
      </c>
      <c r="G90" s="120">
        <v>1</v>
      </c>
      <c r="H90" s="120">
        <f>R46</f>
        <v>85</v>
      </c>
      <c r="I90" s="111">
        <f aca="true" t="shared" si="4" ref="I90:I96">H90*F90/1000</f>
        <v>0.09</v>
      </c>
      <c r="J90" s="162"/>
      <c r="K90" s="162"/>
      <c r="L90" s="162"/>
      <c r="M90" s="163"/>
      <c r="N90" s="156"/>
      <c r="O90" s="98"/>
      <c r="P90" s="87"/>
      <c r="Q90" s="81"/>
      <c r="R90" s="88"/>
      <c r="S90" s="89"/>
    </row>
    <row r="91" spans="2:19" s="45" customFormat="1" ht="15">
      <c r="B91" s="164"/>
      <c r="C91" s="121"/>
      <c r="D91" s="120"/>
      <c r="E91" s="120" t="s">
        <v>28</v>
      </c>
      <c r="F91" s="120">
        <v>6</v>
      </c>
      <c r="G91" s="120">
        <v>6</v>
      </c>
      <c r="H91" s="120">
        <f>R11</f>
        <v>467</v>
      </c>
      <c r="I91" s="111">
        <f t="shared" si="4"/>
        <v>2.8</v>
      </c>
      <c r="J91" s="162"/>
      <c r="K91" s="162"/>
      <c r="L91" s="162"/>
      <c r="M91" s="163"/>
      <c r="N91" s="156"/>
      <c r="O91" s="98"/>
      <c r="P91" s="87"/>
      <c r="Q91" s="81"/>
      <c r="R91" s="88"/>
      <c r="S91" s="89"/>
    </row>
    <row r="92" spans="2:19" s="45" customFormat="1" ht="15">
      <c r="B92" s="164"/>
      <c r="C92" s="121"/>
      <c r="D92" s="120"/>
      <c r="E92" s="120" t="s">
        <v>10</v>
      </c>
      <c r="F92" s="120">
        <v>7</v>
      </c>
      <c r="G92" s="120">
        <v>7</v>
      </c>
      <c r="H92" s="120">
        <f>R10</f>
        <v>72</v>
      </c>
      <c r="I92" s="111">
        <f t="shared" si="4"/>
        <v>0.5</v>
      </c>
      <c r="J92" s="162"/>
      <c r="K92" s="162"/>
      <c r="L92" s="162"/>
      <c r="M92" s="163"/>
      <c r="N92" s="156"/>
      <c r="O92" s="98"/>
      <c r="P92" s="87"/>
      <c r="Q92" s="81"/>
      <c r="R92" s="88"/>
      <c r="S92" s="89"/>
    </row>
    <row r="93" spans="2:19" s="45" customFormat="1" ht="15">
      <c r="B93" s="164"/>
      <c r="C93" s="121"/>
      <c r="D93" s="120"/>
      <c r="E93" s="109" t="s">
        <v>11</v>
      </c>
      <c r="F93" s="120">
        <v>0.2</v>
      </c>
      <c r="G93" s="120">
        <v>0.2</v>
      </c>
      <c r="H93" s="125">
        <f>R5</f>
        <v>13.5</v>
      </c>
      <c r="I93" s="111">
        <f>H93*F93</f>
        <v>2.7</v>
      </c>
      <c r="J93" s="162"/>
      <c r="K93" s="162"/>
      <c r="L93" s="162"/>
      <c r="M93" s="163"/>
      <c r="N93" s="156"/>
      <c r="O93" s="98"/>
      <c r="P93" s="87"/>
      <c r="Q93" s="81"/>
      <c r="R93" s="88"/>
      <c r="S93" s="89"/>
    </row>
    <row r="94" spans="2:19" s="45" customFormat="1" ht="15">
      <c r="B94" s="164"/>
      <c r="C94" s="121"/>
      <c r="D94" s="120"/>
      <c r="E94" s="109" t="s">
        <v>144</v>
      </c>
      <c r="F94" s="120">
        <v>0.5</v>
      </c>
      <c r="G94" s="120">
        <v>0.5</v>
      </c>
      <c r="H94" s="120">
        <f>R49</f>
        <v>377</v>
      </c>
      <c r="I94" s="111">
        <f t="shared" si="4"/>
        <v>0.19</v>
      </c>
      <c r="J94" s="162"/>
      <c r="K94" s="162"/>
      <c r="L94" s="162"/>
      <c r="M94" s="163"/>
      <c r="N94" s="156"/>
      <c r="O94" s="98"/>
      <c r="P94" s="87"/>
      <c r="Q94" s="81"/>
      <c r="R94" s="88"/>
      <c r="S94" s="89"/>
    </row>
    <row r="95" spans="2:19" s="45" customFormat="1" ht="15">
      <c r="B95" s="164"/>
      <c r="C95" s="126"/>
      <c r="D95" s="109"/>
      <c r="E95" s="109" t="s">
        <v>2</v>
      </c>
      <c r="F95" s="109">
        <v>0.5</v>
      </c>
      <c r="G95" s="109">
        <v>0.5</v>
      </c>
      <c r="H95" s="120">
        <f>R46</f>
        <v>85</v>
      </c>
      <c r="I95" s="111">
        <f t="shared" si="4"/>
        <v>0.04</v>
      </c>
      <c r="J95" s="162"/>
      <c r="K95" s="162"/>
      <c r="L95" s="162"/>
      <c r="M95" s="163"/>
      <c r="N95" s="156"/>
      <c r="O95" s="98"/>
      <c r="P95" s="87"/>
      <c r="Q95" s="81"/>
      <c r="R95" s="88"/>
      <c r="S95" s="89"/>
    </row>
    <row r="96" spans="2:19" s="45" customFormat="1" ht="15">
      <c r="B96" s="164"/>
      <c r="C96" s="109"/>
      <c r="D96" s="109"/>
      <c r="E96" s="109" t="s">
        <v>28</v>
      </c>
      <c r="F96" s="109">
        <v>1</v>
      </c>
      <c r="G96" s="109">
        <v>1</v>
      </c>
      <c r="H96" s="120">
        <f>R11</f>
        <v>467</v>
      </c>
      <c r="I96" s="111">
        <f t="shared" si="4"/>
        <v>0.47</v>
      </c>
      <c r="J96" s="125">
        <v>8.9</v>
      </c>
      <c r="K96" s="125">
        <v>6.3</v>
      </c>
      <c r="L96" s="125">
        <v>50.8</v>
      </c>
      <c r="M96" s="125">
        <v>295.5</v>
      </c>
      <c r="N96" s="156">
        <v>500</v>
      </c>
      <c r="O96" s="98">
        <f>(J96+L96)*4+K96*9</f>
        <v>295.5</v>
      </c>
      <c r="P96" s="87"/>
      <c r="Q96" s="81"/>
      <c r="R96" s="88"/>
      <c r="S96" s="89"/>
    </row>
    <row r="97" spans="2:19" s="45" customFormat="1" ht="15">
      <c r="B97" s="164">
        <v>2</v>
      </c>
      <c r="C97" s="166" t="s">
        <v>132</v>
      </c>
      <c r="D97" s="132">
        <v>165</v>
      </c>
      <c r="E97" s="132" t="s">
        <v>133</v>
      </c>
      <c r="F97" s="167">
        <v>165</v>
      </c>
      <c r="G97" s="167">
        <v>165</v>
      </c>
      <c r="H97" s="120">
        <f>R32</f>
        <v>62</v>
      </c>
      <c r="I97" s="138">
        <f>H97*F97/1000</f>
        <v>10.23</v>
      </c>
      <c r="J97" s="125">
        <v>0.85</v>
      </c>
      <c r="K97" s="125">
        <v>0</v>
      </c>
      <c r="L97" s="125">
        <v>19.8</v>
      </c>
      <c r="M97" s="125">
        <v>82.6</v>
      </c>
      <c r="N97" s="156"/>
      <c r="O97" s="98">
        <f>(J97+L97)*4+K97*9</f>
        <v>82.6</v>
      </c>
      <c r="P97" s="87"/>
      <c r="Q97" s="81"/>
      <c r="R97" s="88"/>
      <c r="S97" s="89"/>
    </row>
    <row r="98" spans="2:19" ht="15">
      <c r="B98" s="3"/>
      <c r="C98" s="112"/>
      <c r="D98" s="200"/>
      <c r="E98" s="109"/>
      <c r="F98" s="109"/>
      <c r="G98" s="109"/>
      <c r="H98" s="120"/>
      <c r="I98" s="115">
        <f>SUM(I89:I97)</f>
        <v>19.22</v>
      </c>
      <c r="J98" s="115">
        <f>SUM(J89:J97)</f>
        <v>9.75</v>
      </c>
      <c r="K98" s="115">
        <f>SUM(K89:K97)</f>
        <v>6.3</v>
      </c>
      <c r="L98" s="115">
        <f>SUM(L89:L97)</f>
        <v>70.6</v>
      </c>
      <c r="M98" s="115">
        <f>SUM(M89:M97)</f>
        <v>378.1</v>
      </c>
      <c r="N98" s="159"/>
      <c r="O98" s="98">
        <f>(J98+L98)*4+K98*9</f>
        <v>378.1</v>
      </c>
      <c r="P98" s="5"/>
      <c r="Q98" s="5"/>
      <c r="R98" s="5"/>
      <c r="S98" s="5"/>
    </row>
    <row r="99" spans="2:19" ht="15">
      <c r="B99" s="281" t="s">
        <v>129</v>
      </c>
      <c r="C99" s="282"/>
      <c r="D99" s="282"/>
      <c r="E99" s="282"/>
      <c r="F99" s="282"/>
      <c r="G99" s="282"/>
      <c r="H99" s="282"/>
      <c r="I99" s="283"/>
      <c r="J99" s="115">
        <f>J67+J87+J98</f>
        <v>42.4</v>
      </c>
      <c r="K99" s="115">
        <f>K67+K87+K98</f>
        <v>55.84</v>
      </c>
      <c r="L99" s="115">
        <f>L67+L87+L98</f>
        <v>173.69</v>
      </c>
      <c r="M99" s="115">
        <f>M67+M87+M98</f>
        <v>1366.92</v>
      </c>
      <c r="N99" s="159"/>
      <c r="O99" s="98">
        <f>(J99+L99)*4+K99*9</f>
        <v>1366.92</v>
      </c>
      <c r="P99" s="5"/>
      <c r="Q99" s="5"/>
      <c r="R99" s="5"/>
      <c r="S99" s="5"/>
    </row>
    <row r="100" spans="2:19" ht="15">
      <c r="B100" s="12"/>
      <c r="C100" s="139"/>
      <c r="D100" s="104"/>
      <c r="E100" s="104"/>
      <c r="F100" s="104"/>
      <c r="G100" s="104"/>
      <c r="H100" s="140"/>
      <c r="I100" s="141"/>
      <c r="J100" s="141"/>
      <c r="K100" s="141"/>
      <c r="L100" s="141"/>
      <c r="M100" s="141"/>
      <c r="N100" s="161"/>
      <c r="O100" s="98"/>
      <c r="P100" s="5"/>
      <c r="Q100" s="5"/>
      <c r="R100" s="5"/>
      <c r="S100" s="5"/>
    </row>
    <row r="101" spans="3:19" ht="15">
      <c r="C101" s="102" t="s">
        <v>37</v>
      </c>
      <c r="D101" s="142"/>
      <c r="E101" s="129"/>
      <c r="O101" s="98"/>
      <c r="P101" s="5"/>
      <c r="Q101" s="5"/>
      <c r="R101" s="5"/>
      <c r="S101" s="5"/>
    </row>
    <row r="102" spans="2:20" ht="28.5">
      <c r="B102" s="265" t="s">
        <v>3</v>
      </c>
      <c r="C102" s="109"/>
      <c r="D102" s="105" t="s">
        <v>4</v>
      </c>
      <c r="E102" s="267" t="s">
        <v>29</v>
      </c>
      <c r="F102" s="107" t="s">
        <v>12</v>
      </c>
      <c r="G102" s="107" t="s">
        <v>58</v>
      </c>
      <c r="H102" s="107" t="s">
        <v>30</v>
      </c>
      <c r="I102" s="107" t="s">
        <v>31</v>
      </c>
      <c r="J102" s="269" t="s">
        <v>70</v>
      </c>
      <c r="K102" s="269" t="s">
        <v>71</v>
      </c>
      <c r="L102" s="269" t="s">
        <v>72</v>
      </c>
      <c r="M102" s="269" t="s">
        <v>73</v>
      </c>
      <c r="N102" s="272" t="s">
        <v>148</v>
      </c>
      <c r="O102" s="98"/>
      <c r="P102" s="5"/>
      <c r="Q102" s="5"/>
      <c r="R102" s="5"/>
      <c r="S102" s="5"/>
      <c r="T102" s="5"/>
    </row>
    <row r="103" spans="2:20" ht="15">
      <c r="B103" s="274"/>
      <c r="C103" s="108" t="s">
        <v>0</v>
      </c>
      <c r="D103" s="105" t="s">
        <v>32</v>
      </c>
      <c r="E103" s="268"/>
      <c r="F103" s="109" t="s">
        <v>32</v>
      </c>
      <c r="G103" s="109" t="s">
        <v>32</v>
      </c>
      <c r="H103" s="109" t="s">
        <v>33</v>
      </c>
      <c r="I103" s="109" t="s">
        <v>34</v>
      </c>
      <c r="J103" s="275"/>
      <c r="K103" s="275"/>
      <c r="L103" s="275"/>
      <c r="M103" s="275"/>
      <c r="N103" s="268"/>
      <c r="O103" s="98"/>
      <c r="P103" s="11"/>
      <c r="Q103" s="12"/>
      <c r="R103" s="12"/>
      <c r="S103" s="12"/>
      <c r="T103" s="12"/>
    </row>
    <row r="104" spans="2:20" ht="14.25">
      <c r="B104" s="10">
        <v>1</v>
      </c>
      <c r="C104" s="124" t="s">
        <v>159</v>
      </c>
      <c r="D104" s="122">
        <v>100</v>
      </c>
      <c r="E104" s="137" t="s">
        <v>74</v>
      </c>
      <c r="F104" s="120">
        <v>49.5</v>
      </c>
      <c r="G104" s="180">
        <v>49.5</v>
      </c>
      <c r="H104" s="109">
        <f>R36</f>
        <v>40</v>
      </c>
      <c r="I104" s="111">
        <f aca="true" t="shared" si="5" ref="I104:I112">H104*F104/1000</f>
        <v>1.98</v>
      </c>
      <c r="J104" s="111"/>
      <c r="K104" s="111"/>
      <c r="L104" s="111"/>
      <c r="M104" s="163"/>
      <c r="N104" s="172"/>
      <c r="O104" s="98"/>
      <c r="P104" s="11"/>
      <c r="Q104" s="12"/>
      <c r="R104" s="12"/>
      <c r="S104" s="12"/>
      <c r="T104" s="12"/>
    </row>
    <row r="105" spans="2:20" ht="14.25">
      <c r="B105" s="10"/>
      <c r="C105" s="207"/>
      <c r="D105" s="179"/>
      <c r="E105" s="137" t="s">
        <v>2</v>
      </c>
      <c r="F105" s="120">
        <v>2</v>
      </c>
      <c r="G105" s="180">
        <v>2</v>
      </c>
      <c r="H105" s="109">
        <f>R46</f>
        <v>85</v>
      </c>
      <c r="I105" s="111">
        <f t="shared" si="5"/>
        <v>0.17</v>
      </c>
      <c r="J105" s="111"/>
      <c r="K105" s="111"/>
      <c r="L105" s="111"/>
      <c r="M105" s="163"/>
      <c r="N105" s="172"/>
      <c r="O105" s="98"/>
      <c r="P105" s="11"/>
      <c r="Q105" s="12"/>
      <c r="R105" s="12"/>
      <c r="S105" s="12"/>
      <c r="T105" s="12"/>
    </row>
    <row r="106" spans="2:20" ht="14.25">
      <c r="B106" s="10"/>
      <c r="C106" s="207"/>
      <c r="D106" s="179"/>
      <c r="E106" s="137" t="s">
        <v>26</v>
      </c>
      <c r="F106" s="120">
        <v>3</v>
      </c>
      <c r="G106" s="180">
        <v>3</v>
      </c>
      <c r="H106" s="109">
        <f>R33</f>
        <v>145</v>
      </c>
      <c r="I106" s="111">
        <f t="shared" si="5"/>
        <v>0.44</v>
      </c>
      <c r="J106" s="111"/>
      <c r="K106" s="111"/>
      <c r="L106" s="111"/>
      <c r="M106" s="163"/>
      <c r="N106" s="172"/>
      <c r="O106" s="98"/>
      <c r="P106" s="11"/>
      <c r="Q106" s="12"/>
      <c r="R106" s="12"/>
      <c r="S106" s="12"/>
      <c r="T106" s="12"/>
    </row>
    <row r="107" spans="2:20" ht="14.25">
      <c r="B107" s="10"/>
      <c r="C107" s="207"/>
      <c r="D107" s="179"/>
      <c r="E107" s="137" t="s">
        <v>11</v>
      </c>
      <c r="F107" s="120">
        <v>0.1</v>
      </c>
      <c r="G107" s="180">
        <v>0.1</v>
      </c>
      <c r="H107" s="111">
        <f>R5</f>
        <v>13.5</v>
      </c>
      <c r="I107" s="111">
        <f>H107*F107</f>
        <v>1.35</v>
      </c>
      <c r="J107" s="111"/>
      <c r="K107" s="111"/>
      <c r="L107" s="111"/>
      <c r="M107" s="163"/>
      <c r="N107" s="172"/>
      <c r="O107" s="98"/>
      <c r="P107" s="11"/>
      <c r="Q107" s="12"/>
      <c r="R107" s="12"/>
      <c r="S107" s="12"/>
      <c r="T107" s="12"/>
    </row>
    <row r="108" spans="2:20" ht="14.25">
      <c r="B108" s="10"/>
      <c r="C108" s="207"/>
      <c r="D108" s="179"/>
      <c r="E108" s="137" t="s">
        <v>144</v>
      </c>
      <c r="F108" s="120">
        <v>0.7</v>
      </c>
      <c r="G108" s="180">
        <v>0.7</v>
      </c>
      <c r="H108" s="109">
        <f>R49</f>
        <v>377</v>
      </c>
      <c r="I108" s="111">
        <f t="shared" si="5"/>
        <v>0.26</v>
      </c>
      <c r="J108" s="111"/>
      <c r="K108" s="111"/>
      <c r="L108" s="111"/>
      <c r="M108" s="163"/>
      <c r="N108" s="172"/>
      <c r="O108" s="98"/>
      <c r="P108" s="11"/>
      <c r="Q108" s="12"/>
      <c r="R108" s="12"/>
      <c r="S108" s="12"/>
      <c r="T108" s="12"/>
    </row>
    <row r="109" spans="2:20" ht="14.25">
      <c r="B109" s="10"/>
      <c r="C109" s="124"/>
      <c r="D109" s="109"/>
      <c r="E109" s="109" t="s">
        <v>160</v>
      </c>
      <c r="F109" s="132">
        <v>25</v>
      </c>
      <c r="G109" s="208">
        <v>20</v>
      </c>
      <c r="H109" s="109">
        <f>R7</f>
        <v>292</v>
      </c>
      <c r="I109" s="111">
        <f t="shared" si="5"/>
        <v>7.3</v>
      </c>
      <c r="J109" s="111"/>
      <c r="K109" s="111"/>
      <c r="L109" s="111"/>
      <c r="M109" s="163"/>
      <c r="N109" s="172"/>
      <c r="O109" s="98"/>
      <c r="P109" s="11"/>
      <c r="Q109" s="12"/>
      <c r="R109" s="12"/>
      <c r="S109" s="12"/>
      <c r="T109" s="12"/>
    </row>
    <row r="110" spans="2:20" ht="14.25">
      <c r="B110" s="10"/>
      <c r="C110" s="112"/>
      <c r="D110" s="109"/>
      <c r="E110" s="109" t="s">
        <v>23</v>
      </c>
      <c r="F110" s="132">
        <v>7</v>
      </c>
      <c r="G110" s="132">
        <v>7</v>
      </c>
      <c r="H110" s="110">
        <f>R15</f>
        <v>543</v>
      </c>
      <c r="I110" s="111">
        <f t="shared" si="5"/>
        <v>3.8</v>
      </c>
      <c r="J110" s="111"/>
      <c r="K110" s="111"/>
      <c r="L110" s="111"/>
      <c r="M110" s="163"/>
      <c r="N110" s="172"/>
      <c r="O110" s="98"/>
      <c r="P110" s="11"/>
      <c r="Q110" s="12"/>
      <c r="R110" s="12"/>
      <c r="S110" s="12"/>
      <c r="T110" s="12"/>
    </row>
    <row r="111" spans="2:20" ht="14.25">
      <c r="B111" s="10"/>
      <c r="C111" s="112"/>
      <c r="D111" s="109"/>
      <c r="E111" s="109" t="s">
        <v>18</v>
      </c>
      <c r="F111" s="132">
        <v>4</v>
      </c>
      <c r="G111" s="132">
        <v>4</v>
      </c>
      <c r="H111" s="110">
        <f>R26</f>
        <v>142</v>
      </c>
      <c r="I111" s="111">
        <f t="shared" si="5"/>
        <v>0.57</v>
      </c>
      <c r="J111" s="111"/>
      <c r="K111" s="111"/>
      <c r="L111" s="111"/>
      <c r="M111" s="163"/>
      <c r="N111" s="172"/>
      <c r="O111" s="98"/>
      <c r="P111" s="11"/>
      <c r="Q111" s="12"/>
      <c r="R111" s="12"/>
      <c r="S111" s="12"/>
      <c r="T111" s="12"/>
    </row>
    <row r="112" spans="2:20" ht="14.25">
      <c r="B112" s="10"/>
      <c r="C112" s="112"/>
      <c r="D112" s="109"/>
      <c r="E112" s="109" t="s">
        <v>9</v>
      </c>
      <c r="F112" s="132">
        <v>10</v>
      </c>
      <c r="G112" s="132">
        <v>10</v>
      </c>
      <c r="H112" s="110">
        <f>R12</f>
        <v>199</v>
      </c>
      <c r="I112" s="111">
        <f t="shared" si="5"/>
        <v>1.99</v>
      </c>
      <c r="J112" s="117">
        <v>11.89</v>
      </c>
      <c r="K112" s="117">
        <v>16.25</v>
      </c>
      <c r="L112" s="117">
        <v>28.3</v>
      </c>
      <c r="M112" s="117">
        <v>307.01</v>
      </c>
      <c r="N112" s="177">
        <v>413</v>
      </c>
      <c r="O112" s="98">
        <f>(J112+L112)*4+K112*9</f>
        <v>307.01</v>
      </c>
      <c r="P112" s="11"/>
      <c r="Q112" s="12"/>
      <c r="R112" s="12"/>
      <c r="S112" s="12"/>
      <c r="T112" s="12"/>
    </row>
    <row r="113" spans="2:20" ht="14.25">
      <c r="B113" s="10">
        <v>2</v>
      </c>
      <c r="C113" s="112" t="s">
        <v>13</v>
      </c>
      <c r="D113" s="113">
        <v>200</v>
      </c>
      <c r="E113" s="109" t="s">
        <v>51</v>
      </c>
      <c r="F113" s="109">
        <v>1</v>
      </c>
      <c r="G113" s="109">
        <v>1</v>
      </c>
      <c r="H113" s="120">
        <f>R54</f>
        <v>507</v>
      </c>
      <c r="I113" s="111">
        <f>H113*F113/1000</f>
        <v>0.51</v>
      </c>
      <c r="J113" s="111"/>
      <c r="K113" s="111"/>
      <c r="L113" s="111"/>
      <c r="M113" s="111"/>
      <c r="N113" s="156"/>
      <c r="O113" s="98"/>
      <c r="P113" s="11"/>
      <c r="Q113" s="12"/>
      <c r="R113" s="12"/>
      <c r="S113" s="12"/>
      <c r="T113" s="12"/>
    </row>
    <row r="114" spans="2:20" ht="14.25">
      <c r="B114" s="10"/>
      <c r="C114" s="112"/>
      <c r="D114" s="113"/>
      <c r="E114" s="109" t="s">
        <v>2</v>
      </c>
      <c r="F114" s="109">
        <v>10</v>
      </c>
      <c r="G114" s="109">
        <v>10</v>
      </c>
      <c r="H114" s="120">
        <f>R46</f>
        <v>85</v>
      </c>
      <c r="I114" s="111">
        <f>H114*F114/1000</f>
        <v>0.85</v>
      </c>
      <c r="J114" s="162">
        <v>0.2</v>
      </c>
      <c r="K114" s="162">
        <v>0</v>
      </c>
      <c r="L114" s="162">
        <v>14</v>
      </c>
      <c r="M114" s="162">
        <v>56.8</v>
      </c>
      <c r="N114" s="156">
        <v>376</v>
      </c>
      <c r="O114" s="98">
        <f>(J114+L114)*4+K114*9</f>
        <v>56.8</v>
      </c>
      <c r="P114" s="66"/>
      <c r="Q114" s="12"/>
      <c r="R114" s="12"/>
      <c r="S114" s="12"/>
      <c r="T114" s="12"/>
    </row>
    <row r="115" spans="2:19" ht="15">
      <c r="B115" s="10"/>
      <c r="C115" s="112"/>
      <c r="D115" s="200"/>
      <c r="E115" s="109"/>
      <c r="F115" s="109"/>
      <c r="G115" s="109"/>
      <c r="H115" s="120"/>
      <c r="I115" s="115">
        <f>SUM(I104:I114)</f>
        <v>19.22</v>
      </c>
      <c r="J115" s="115">
        <f>SUM(J104:J114)</f>
        <v>12.09</v>
      </c>
      <c r="K115" s="115">
        <f>SUM(K104:K114)</f>
        <v>16.25</v>
      </c>
      <c r="L115" s="115">
        <f>SUM(L104:L114)</f>
        <v>42.3</v>
      </c>
      <c r="M115" s="115">
        <f>SUM(M104:M114)</f>
        <v>363.81</v>
      </c>
      <c r="N115" s="159"/>
      <c r="O115" s="98">
        <f>(J115+L115)*4+K115*9</f>
        <v>363.81</v>
      </c>
      <c r="P115" s="5"/>
      <c r="Q115" s="5"/>
      <c r="R115" s="5"/>
      <c r="S115" s="5"/>
    </row>
    <row r="116" spans="2:19" ht="15">
      <c r="B116" s="10"/>
      <c r="C116" s="116" t="s">
        <v>5</v>
      </c>
      <c r="D116" s="105"/>
      <c r="E116" s="105"/>
      <c r="F116" s="109"/>
      <c r="G116" s="109"/>
      <c r="H116" s="109"/>
      <c r="I116" s="111"/>
      <c r="J116" s="111"/>
      <c r="K116" s="111"/>
      <c r="L116" s="111"/>
      <c r="M116" s="111"/>
      <c r="N116" s="156"/>
      <c r="O116" s="98"/>
      <c r="P116" s="5"/>
      <c r="Q116" s="5"/>
      <c r="R116" s="5"/>
      <c r="S116" s="5"/>
    </row>
    <row r="117" spans="2:19" ht="14.25">
      <c r="B117" s="3">
        <v>1</v>
      </c>
      <c r="C117" s="135" t="s">
        <v>141</v>
      </c>
      <c r="D117" s="136">
        <v>200</v>
      </c>
      <c r="E117" s="136" t="s">
        <v>7</v>
      </c>
      <c r="F117" s="109">
        <v>60</v>
      </c>
      <c r="G117" s="109">
        <v>45</v>
      </c>
      <c r="H117" s="120">
        <f>R18</f>
        <v>54</v>
      </c>
      <c r="I117" s="111">
        <f aca="true" t="shared" si="6" ref="I117:I122">H117*F117/1000</f>
        <v>3.24</v>
      </c>
      <c r="J117" s="111"/>
      <c r="K117" s="111"/>
      <c r="L117" s="111"/>
      <c r="M117" s="111"/>
      <c r="N117" s="156"/>
      <c r="O117" s="98"/>
      <c r="P117" s="5"/>
      <c r="Q117" s="5"/>
      <c r="R117" s="5"/>
      <c r="S117" s="5"/>
    </row>
    <row r="118" spans="2:15" ht="14.25">
      <c r="B118" s="3"/>
      <c r="C118" s="135"/>
      <c r="D118" s="136"/>
      <c r="E118" s="136" t="s">
        <v>28</v>
      </c>
      <c r="F118" s="109">
        <v>1</v>
      </c>
      <c r="G118" s="109">
        <v>1</v>
      </c>
      <c r="H118" s="120">
        <f>R11</f>
        <v>467</v>
      </c>
      <c r="I118" s="111">
        <f t="shared" si="6"/>
        <v>0.47</v>
      </c>
      <c r="J118" s="111"/>
      <c r="K118" s="111"/>
      <c r="L118" s="111"/>
      <c r="M118" s="111"/>
      <c r="N118" s="156"/>
      <c r="O118" s="98"/>
    </row>
    <row r="119" spans="2:15" ht="14.25">
      <c r="B119" s="3"/>
      <c r="C119" s="137"/>
      <c r="D119" s="136"/>
      <c r="E119" s="136" t="s">
        <v>8</v>
      </c>
      <c r="F119" s="109">
        <v>10</v>
      </c>
      <c r="G119" s="109">
        <v>8</v>
      </c>
      <c r="H119" s="120">
        <f>R21</f>
        <v>60</v>
      </c>
      <c r="I119" s="111">
        <f t="shared" si="6"/>
        <v>0.6</v>
      </c>
      <c r="J119" s="111"/>
      <c r="K119" s="111"/>
      <c r="L119" s="111"/>
      <c r="M119" s="111"/>
      <c r="N119" s="156"/>
      <c r="O119" s="98"/>
    </row>
    <row r="120" spans="2:15" ht="14.25">
      <c r="B120" s="3"/>
      <c r="C120" s="137"/>
      <c r="D120" s="136"/>
      <c r="E120" s="136" t="s">
        <v>6</v>
      </c>
      <c r="F120" s="109">
        <v>9</v>
      </c>
      <c r="G120" s="109">
        <v>8</v>
      </c>
      <c r="H120" s="120">
        <f>R20</f>
        <v>49</v>
      </c>
      <c r="I120" s="111">
        <f t="shared" si="6"/>
        <v>0.44</v>
      </c>
      <c r="J120" s="111"/>
      <c r="K120" s="111"/>
      <c r="L120" s="111"/>
      <c r="M120" s="111"/>
      <c r="N120" s="156"/>
      <c r="O120" s="98"/>
    </row>
    <row r="121" spans="2:15" ht="14.25">
      <c r="B121" s="3"/>
      <c r="C121" s="137"/>
      <c r="D121" s="136"/>
      <c r="E121" s="136" t="s">
        <v>26</v>
      </c>
      <c r="F121" s="109">
        <v>1</v>
      </c>
      <c r="G121" s="109">
        <v>1</v>
      </c>
      <c r="H121" s="120">
        <f>R33</f>
        <v>145</v>
      </c>
      <c r="I121" s="111">
        <f t="shared" si="6"/>
        <v>0.15</v>
      </c>
      <c r="J121" s="111"/>
      <c r="K121" s="111"/>
      <c r="L121" s="111"/>
      <c r="M121" s="111"/>
      <c r="N121" s="156"/>
      <c r="O121" s="98"/>
    </row>
    <row r="122" spans="2:15" ht="14.25">
      <c r="B122" s="3"/>
      <c r="C122" s="137"/>
      <c r="D122" s="136"/>
      <c r="E122" s="136" t="s">
        <v>74</v>
      </c>
      <c r="F122" s="109">
        <v>10</v>
      </c>
      <c r="G122" s="109">
        <v>10</v>
      </c>
      <c r="H122" s="120">
        <f>R36</f>
        <v>40</v>
      </c>
      <c r="I122" s="111">
        <f t="shared" si="6"/>
        <v>0.4</v>
      </c>
      <c r="J122" s="111"/>
      <c r="K122" s="111"/>
      <c r="L122" s="111"/>
      <c r="M122" s="111"/>
      <c r="N122" s="156"/>
      <c r="O122" s="98"/>
    </row>
    <row r="123" spans="2:15" ht="14.25">
      <c r="B123" s="3"/>
      <c r="C123" s="137"/>
      <c r="D123" s="136"/>
      <c r="E123" s="136" t="s">
        <v>11</v>
      </c>
      <c r="F123" s="109">
        <v>0.14</v>
      </c>
      <c r="G123" s="109">
        <v>0.14</v>
      </c>
      <c r="H123" s="125">
        <f>R5</f>
        <v>13.5</v>
      </c>
      <c r="I123" s="111">
        <f>H123*F123</f>
        <v>1.89</v>
      </c>
      <c r="J123" s="163">
        <v>2.7</v>
      </c>
      <c r="K123" s="163">
        <v>3.58</v>
      </c>
      <c r="L123" s="163">
        <v>17.98</v>
      </c>
      <c r="M123" s="163">
        <v>114.94</v>
      </c>
      <c r="N123" s="152">
        <v>42</v>
      </c>
      <c r="O123" s="98">
        <f>(J123+L123)*4+K123*9</f>
        <v>114.94</v>
      </c>
    </row>
    <row r="124" spans="2:15" ht="14.25">
      <c r="B124" s="10">
        <v>2</v>
      </c>
      <c r="C124" s="126" t="s">
        <v>130</v>
      </c>
      <c r="D124" s="109" t="s">
        <v>181</v>
      </c>
      <c r="E124" s="109" t="s">
        <v>131</v>
      </c>
      <c r="F124" s="109">
        <v>96</v>
      </c>
      <c r="G124" s="109">
        <v>65</v>
      </c>
      <c r="H124" s="109">
        <f>R7</f>
        <v>292</v>
      </c>
      <c r="I124" s="111">
        <f>F124*H124/1000</f>
        <v>28.03</v>
      </c>
      <c r="J124" s="111"/>
      <c r="K124" s="111"/>
      <c r="L124" s="111"/>
      <c r="M124" s="111"/>
      <c r="N124" s="152"/>
      <c r="O124" s="98"/>
    </row>
    <row r="125" spans="2:15" ht="14.25">
      <c r="B125" s="10"/>
      <c r="C125" s="126"/>
      <c r="D125" s="109"/>
      <c r="E125" s="105" t="s">
        <v>9</v>
      </c>
      <c r="F125" s="109">
        <v>8</v>
      </c>
      <c r="G125" s="109">
        <v>8</v>
      </c>
      <c r="H125" s="109">
        <f>R12</f>
        <v>199</v>
      </c>
      <c r="I125" s="111">
        <f>F125*H125/1000</f>
        <v>1.59</v>
      </c>
      <c r="J125" s="111"/>
      <c r="K125" s="111"/>
      <c r="L125" s="111"/>
      <c r="M125" s="111"/>
      <c r="N125" s="152"/>
      <c r="O125" s="98"/>
    </row>
    <row r="126" spans="2:15" ht="14.25">
      <c r="B126" s="10"/>
      <c r="C126" s="126"/>
      <c r="D126" s="109"/>
      <c r="E126" s="105" t="s">
        <v>74</v>
      </c>
      <c r="F126" s="109">
        <v>2</v>
      </c>
      <c r="G126" s="109">
        <v>2</v>
      </c>
      <c r="H126" s="109">
        <f>R36</f>
        <v>40</v>
      </c>
      <c r="I126" s="111">
        <f>F126*H126/1000</f>
        <v>0.08</v>
      </c>
      <c r="J126" s="111"/>
      <c r="K126" s="111"/>
      <c r="L126" s="111"/>
      <c r="M126" s="111"/>
      <c r="N126" s="152"/>
      <c r="O126" s="98"/>
    </row>
    <row r="127" spans="2:16" ht="14.25">
      <c r="B127" s="10"/>
      <c r="C127" s="126"/>
      <c r="D127" s="109"/>
      <c r="E127" s="105" t="s">
        <v>27</v>
      </c>
      <c r="F127" s="109">
        <v>2</v>
      </c>
      <c r="G127" s="109">
        <v>2</v>
      </c>
      <c r="H127" s="155">
        <f>R26</f>
        <v>142</v>
      </c>
      <c r="I127" s="111">
        <f>H127*F127/1000</f>
        <v>0.28</v>
      </c>
      <c r="J127" s="163">
        <v>17.04</v>
      </c>
      <c r="K127" s="163">
        <v>20.55</v>
      </c>
      <c r="L127" s="163">
        <v>4.13</v>
      </c>
      <c r="M127" s="163">
        <v>269.63</v>
      </c>
      <c r="N127" s="152">
        <v>703</v>
      </c>
      <c r="O127" s="98">
        <f>(J127+L127)*4+K127*9</f>
        <v>269.63</v>
      </c>
      <c r="P127" s="26"/>
    </row>
    <row r="128" spans="2:15" ht="14.25">
      <c r="B128" s="10">
        <v>3</v>
      </c>
      <c r="C128" s="242" t="s">
        <v>215</v>
      </c>
      <c r="D128" s="3">
        <v>150</v>
      </c>
      <c r="E128" s="6" t="s">
        <v>1</v>
      </c>
      <c r="F128" s="3">
        <v>54</v>
      </c>
      <c r="G128" s="3">
        <v>54</v>
      </c>
      <c r="H128" s="120">
        <f>R39</f>
        <v>116</v>
      </c>
      <c r="I128" s="111">
        <f>H128*F128/1000</f>
        <v>6.26</v>
      </c>
      <c r="J128" s="111"/>
      <c r="K128" s="111"/>
      <c r="L128" s="111"/>
      <c r="M128" s="111"/>
      <c r="N128" s="156"/>
      <c r="O128" s="98"/>
    </row>
    <row r="129" spans="2:15" ht="14.25">
      <c r="B129" s="10"/>
      <c r="C129" s="226"/>
      <c r="D129" s="3"/>
      <c r="E129" s="6" t="s">
        <v>28</v>
      </c>
      <c r="F129" s="3">
        <v>5</v>
      </c>
      <c r="G129" s="3">
        <v>5</v>
      </c>
      <c r="H129" s="120">
        <f>R11</f>
        <v>467</v>
      </c>
      <c r="I129" s="111">
        <f>H129*F129/1000</f>
        <v>2.34</v>
      </c>
      <c r="J129" s="192">
        <v>3.84</v>
      </c>
      <c r="K129" s="195">
        <v>6.46</v>
      </c>
      <c r="L129" s="195">
        <v>38.63</v>
      </c>
      <c r="M129" s="195">
        <v>228.02</v>
      </c>
      <c r="N129" s="211">
        <v>747</v>
      </c>
      <c r="O129" s="98">
        <f>(J129+L129)*4+K129*9</f>
        <v>228.02</v>
      </c>
    </row>
    <row r="130" spans="2:15" ht="14.25">
      <c r="B130" s="10">
        <v>4</v>
      </c>
      <c r="C130" s="112" t="s">
        <v>35</v>
      </c>
      <c r="D130" s="109">
        <v>50</v>
      </c>
      <c r="E130" s="109" t="s">
        <v>19</v>
      </c>
      <c r="F130" s="109">
        <v>50</v>
      </c>
      <c r="G130" s="109">
        <v>50</v>
      </c>
      <c r="H130" s="109">
        <f>R56</f>
        <v>48</v>
      </c>
      <c r="I130" s="111">
        <f>F130*H130/1000</f>
        <v>2.4</v>
      </c>
      <c r="J130" s="163">
        <v>3.06</v>
      </c>
      <c r="K130" s="163">
        <v>9.54</v>
      </c>
      <c r="L130" s="163">
        <v>18.28</v>
      </c>
      <c r="M130" s="163">
        <v>171.22</v>
      </c>
      <c r="N130" s="156">
        <v>1</v>
      </c>
      <c r="O130" s="98">
        <f>(J130+L130)*4+K130*9</f>
        <v>171.22</v>
      </c>
    </row>
    <row r="131" spans="2:15" ht="14.25">
      <c r="B131" s="3">
        <v>5</v>
      </c>
      <c r="C131" s="126" t="s">
        <v>25</v>
      </c>
      <c r="D131" s="109">
        <v>200</v>
      </c>
      <c r="E131" s="109" t="s">
        <v>20</v>
      </c>
      <c r="F131" s="109">
        <v>14</v>
      </c>
      <c r="G131" s="109">
        <v>14</v>
      </c>
      <c r="H131" s="109">
        <f>R29</f>
        <v>140</v>
      </c>
      <c r="I131" s="138">
        <f>F131*H131/1000</f>
        <v>1.96</v>
      </c>
      <c r="J131" s="111"/>
      <c r="K131" s="111"/>
      <c r="L131" s="111"/>
      <c r="M131" s="111"/>
      <c r="N131" s="156"/>
      <c r="O131" s="98"/>
    </row>
    <row r="132" spans="2:15" ht="14.25">
      <c r="B132" s="3"/>
      <c r="C132" s="109"/>
      <c r="D132" s="109"/>
      <c r="E132" s="109" t="s">
        <v>2</v>
      </c>
      <c r="F132" s="109">
        <v>10.5</v>
      </c>
      <c r="G132" s="109">
        <v>10.5</v>
      </c>
      <c r="H132" s="109">
        <f>R46</f>
        <v>85</v>
      </c>
      <c r="I132" s="138">
        <f>F132*H132/1000</f>
        <v>0.89</v>
      </c>
      <c r="J132" s="194">
        <v>0.04</v>
      </c>
      <c r="K132" s="194">
        <v>0</v>
      </c>
      <c r="L132" s="194">
        <v>24.76</v>
      </c>
      <c r="M132" s="163">
        <v>99.2</v>
      </c>
      <c r="N132" s="156">
        <v>349</v>
      </c>
      <c r="O132" s="98">
        <f>(J132+L132)*4+K132*9</f>
        <v>99.2</v>
      </c>
    </row>
    <row r="133" spans="2:15" ht="14.25">
      <c r="B133" s="10"/>
      <c r="C133" s="109"/>
      <c r="D133" s="109"/>
      <c r="E133" s="109" t="s">
        <v>98</v>
      </c>
      <c r="F133" s="109">
        <v>0.0005</v>
      </c>
      <c r="G133" s="109">
        <v>0.0005</v>
      </c>
      <c r="H133" s="109"/>
      <c r="I133" s="138"/>
      <c r="J133" s="111"/>
      <c r="K133" s="111"/>
      <c r="L133" s="111"/>
      <c r="M133" s="111"/>
      <c r="N133" s="156"/>
      <c r="O133" s="98"/>
    </row>
    <row r="134" spans="2:15" ht="14.25">
      <c r="B134" s="10"/>
      <c r="C134" s="109"/>
      <c r="D134" s="109"/>
      <c r="E134" s="109" t="s">
        <v>149</v>
      </c>
      <c r="F134" s="109">
        <v>2</v>
      </c>
      <c r="G134" s="109">
        <v>2</v>
      </c>
      <c r="H134" s="109">
        <f>R50</f>
        <v>27</v>
      </c>
      <c r="I134" s="138">
        <f>F134*H134/1000</f>
        <v>0.05</v>
      </c>
      <c r="J134" s="111"/>
      <c r="K134" s="111"/>
      <c r="L134" s="111"/>
      <c r="M134" s="111"/>
      <c r="N134" s="156"/>
      <c r="O134" s="98"/>
    </row>
    <row r="135" spans="2:15" ht="14.25">
      <c r="B135" s="10"/>
      <c r="C135" s="109"/>
      <c r="D135" s="109"/>
      <c r="E135" s="109" t="s">
        <v>93</v>
      </c>
      <c r="F135" s="109">
        <v>0.02</v>
      </c>
      <c r="G135" s="109">
        <v>0.02</v>
      </c>
      <c r="H135" s="109">
        <f>R55</f>
        <v>617</v>
      </c>
      <c r="I135" s="138">
        <f>F135*H135/1000</f>
        <v>0.01</v>
      </c>
      <c r="J135" s="111"/>
      <c r="K135" s="111"/>
      <c r="L135" s="111"/>
      <c r="M135" s="111"/>
      <c r="N135" s="156"/>
      <c r="O135" s="98"/>
    </row>
    <row r="136" spans="2:15" ht="15">
      <c r="B136" s="10"/>
      <c r="C136" s="109"/>
      <c r="D136" s="200"/>
      <c r="E136" s="109"/>
      <c r="F136" s="109"/>
      <c r="G136" s="109"/>
      <c r="H136" s="120"/>
      <c r="I136" s="115">
        <f>SUM(I117:I135)</f>
        <v>51.08</v>
      </c>
      <c r="J136" s="115">
        <f>SUM(J117:J135)</f>
        <v>26.68</v>
      </c>
      <c r="K136" s="115">
        <f>SUM(K117:K135)</f>
        <v>40.13</v>
      </c>
      <c r="L136" s="115">
        <f>SUM(L117:L135)</f>
        <v>103.78</v>
      </c>
      <c r="M136" s="115">
        <f>SUM(M117:M135)</f>
        <v>883.01</v>
      </c>
      <c r="N136" s="159"/>
      <c r="O136" s="98">
        <f>(J136+L136)*4+K136*9</f>
        <v>883.01</v>
      </c>
    </row>
    <row r="137" spans="2:15" ht="15">
      <c r="B137" s="3"/>
      <c r="C137" s="116" t="s">
        <v>99</v>
      </c>
      <c r="D137" s="109"/>
      <c r="E137" s="109"/>
      <c r="F137" s="109"/>
      <c r="G137" s="109"/>
      <c r="H137" s="120"/>
      <c r="I137" s="123"/>
      <c r="J137" s="123"/>
      <c r="K137" s="123"/>
      <c r="L137" s="123"/>
      <c r="M137" s="123"/>
      <c r="N137" s="159"/>
      <c r="O137" s="98"/>
    </row>
    <row r="138" spans="2:15" ht="14.25">
      <c r="B138" s="6">
        <v>1</v>
      </c>
      <c r="C138" s="112" t="s">
        <v>170</v>
      </c>
      <c r="D138" s="109">
        <v>90</v>
      </c>
      <c r="E138" s="109" t="s">
        <v>74</v>
      </c>
      <c r="F138" s="109">
        <v>41</v>
      </c>
      <c r="G138" s="109">
        <v>41</v>
      </c>
      <c r="H138" s="120">
        <f>R36</f>
        <v>40</v>
      </c>
      <c r="I138" s="138">
        <f>F138*H138/1000</f>
        <v>1.64</v>
      </c>
      <c r="J138" s="162"/>
      <c r="K138" s="162"/>
      <c r="L138" s="162"/>
      <c r="M138" s="163"/>
      <c r="N138" s="156"/>
      <c r="O138" s="98"/>
    </row>
    <row r="139" spans="2:15" ht="14.25">
      <c r="B139" s="164"/>
      <c r="C139" s="112" t="s">
        <v>171</v>
      </c>
      <c r="D139" s="109"/>
      <c r="E139" s="109" t="s">
        <v>2</v>
      </c>
      <c r="F139" s="109">
        <v>2</v>
      </c>
      <c r="G139" s="109">
        <v>2</v>
      </c>
      <c r="H139" s="120">
        <f>R46</f>
        <v>85</v>
      </c>
      <c r="I139" s="138">
        <f aca="true" t="shared" si="7" ref="I139:I145">F139*H139/1000</f>
        <v>0.17</v>
      </c>
      <c r="J139" s="162"/>
      <c r="K139" s="162"/>
      <c r="L139" s="162"/>
      <c r="M139" s="163"/>
      <c r="N139" s="156"/>
      <c r="O139" s="98"/>
    </row>
    <row r="140" spans="2:15" ht="14.25">
      <c r="B140" s="164"/>
      <c r="C140" s="105"/>
      <c r="D140" s="109"/>
      <c r="E140" s="109" t="s">
        <v>26</v>
      </c>
      <c r="F140" s="109">
        <v>7</v>
      </c>
      <c r="G140" s="109">
        <v>7</v>
      </c>
      <c r="H140" s="120">
        <f>R33</f>
        <v>145</v>
      </c>
      <c r="I140" s="138">
        <f t="shared" si="7"/>
        <v>1.02</v>
      </c>
      <c r="J140" s="162"/>
      <c r="K140" s="162"/>
      <c r="L140" s="162"/>
      <c r="M140" s="163"/>
      <c r="N140" s="156"/>
      <c r="O140" s="98"/>
    </row>
    <row r="141" spans="2:15" ht="14.25">
      <c r="B141" s="164"/>
      <c r="C141" s="105"/>
      <c r="D141" s="109"/>
      <c r="E141" s="109" t="s">
        <v>11</v>
      </c>
      <c r="F141" s="109">
        <v>0.2</v>
      </c>
      <c r="G141" s="109">
        <v>0.2</v>
      </c>
      <c r="H141" s="125">
        <f>R5</f>
        <v>13.5</v>
      </c>
      <c r="I141" s="138">
        <f>F141*H141</f>
        <v>2.7</v>
      </c>
      <c r="J141" s="162"/>
      <c r="K141" s="162"/>
      <c r="L141" s="162"/>
      <c r="M141" s="163"/>
      <c r="N141" s="156"/>
      <c r="O141" s="98"/>
    </row>
    <row r="142" spans="2:15" ht="14.25">
      <c r="B142" s="164"/>
      <c r="C142" s="105"/>
      <c r="D142" s="109"/>
      <c r="E142" s="109" t="s">
        <v>144</v>
      </c>
      <c r="F142" s="109">
        <v>0.4</v>
      </c>
      <c r="G142" s="109">
        <v>0.4</v>
      </c>
      <c r="H142" s="120">
        <f>R49</f>
        <v>377</v>
      </c>
      <c r="I142" s="138">
        <f t="shared" si="7"/>
        <v>0.15</v>
      </c>
      <c r="J142" s="162"/>
      <c r="K142" s="162"/>
      <c r="L142" s="162"/>
      <c r="M142" s="163"/>
      <c r="N142" s="156"/>
      <c r="O142" s="98"/>
    </row>
    <row r="143" spans="2:15" ht="14.25">
      <c r="B143" s="164"/>
      <c r="C143" s="105"/>
      <c r="D143" s="109"/>
      <c r="E143" s="109" t="s">
        <v>122</v>
      </c>
      <c r="F143" s="109">
        <v>0.7</v>
      </c>
      <c r="G143" s="109">
        <v>0.7</v>
      </c>
      <c r="H143" s="120">
        <f>R50</f>
        <v>27</v>
      </c>
      <c r="I143" s="138">
        <f t="shared" si="7"/>
        <v>0.02</v>
      </c>
      <c r="J143" s="162"/>
      <c r="K143" s="162"/>
      <c r="L143" s="162"/>
      <c r="M143" s="163"/>
      <c r="N143" s="156"/>
      <c r="O143" s="98"/>
    </row>
    <row r="144" spans="2:15" ht="14.25">
      <c r="B144" s="164"/>
      <c r="C144" s="105"/>
      <c r="D144" s="109"/>
      <c r="E144" s="109" t="s">
        <v>17</v>
      </c>
      <c r="F144" s="109">
        <v>58</v>
      </c>
      <c r="G144" s="109">
        <v>47</v>
      </c>
      <c r="H144" s="120">
        <f>R19</f>
        <v>57</v>
      </c>
      <c r="I144" s="138">
        <f t="shared" si="7"/>
        <v>3.31</v>
      </c>
      <c r="J144" s="162"/>
      <c r="K144" s="162"/>
      <c r="L144" s="162"/>
      <c r="M144" s="163"/>
      <c r="N144" s="156"/>
      <c r="O144" s="98"/>
    </row>
    <row r="145" spans="2:15" ht="14.25">
      <c r="B145" s="164"/>
      <c r="C145" s="105"/>
      <c r="D145" s="109"/>
      <c r="E145" s="109" t="s">
        <v>6</v>
      </c>
      <c r="F145" s="109">
        <v>6</v>
      </c>
      <c r="G145" s="109">
        <v>5</v>
      </c>
      <c r="H145" s="120">
        <f>R20</f>
        <v>49</v>
      </c>
      <c r="I145" s="138">
        <f t="shared" si="7"/>
        <v>0.29</v>
      </c>
      <c r="J145" s="125">
        <v>3.74</v>
      </c>
      <c r="K145" s="125">
        <v>7.16</v>
      </c>
      <c r="L145" s="125">
        <v>5.9</v>
      </c>
      <c r="M145" s="125">
        <v>103</v>
      </c>
      <c r="N145" s="156">
        <v>738</v>
      </c>
      <c r="O145" s="98">
        <f>(J145+L145)*4+K145*9</f>
        <v>103</v>
      </c>
    </row>
    <row r="146" spans="2:15" ht="15">
      <c r="B146" s="164">
        <v>2</v>
      </c>
      <c r="C146" s="166" t="s">
        <v>132</v>
      </c>
      <c r="D146" s="132">
        <v>160</v>
      </c>
      <c r="E146" s="132" t="s">
        <v>133</v>
      </c>
      <c r="F146" s="167">
        <v>160</v>
      </c>
      <c r="G146" s="167">
        <v>160</v>
      </c>
      <c r="H146" s="120">
        <f>R32</f>
        <v>62</v>
      </c>
      <c r="I146" s="138">
        <f>F146*H146/1000</f>
        <v>9.92</v>
      </c>
      <c r="J146" s="125">
        <v>0.83</v>
      </c>
      <c r="K146" s="125">
        <v>0</v>
      </c>
      <c r="L146" s="125">
        <v>19.2</v>
      </c>
      <c r="M146" s="125">
        <v>80.12</v>
      </c>
      <c r="N146" s="159"/>
      <c r="O146" s="98">
        <f>(J146+L146)*4+K146*9</f>
        <v>80.12</v>
      </c>
    </row>
    <row r="147" spans="2:15" ht="15">
      <c r="B147" s="3"/>
      <c r="C147" s="109"/>
      <c r="D147" s="200"/>
      <c r="E147" s="109"/>
      <c r="F147" s="109"/>
      <c r="G147" s="109"/>
      <c r="H147" s="120"/>
      <c r="I147" s="115">
        <f>SUM(I138:I146)</f>
        <v>19.22</v>
      </c>
      <c r="J147" s="115">
        <f>SUM(J138:J146)</f>
        <v>4.57</v>
      </c>
      <c r="K147" s="115">
        <f>SUM(K138:K146)</f>
        <v>7.16</v>
      </c>
      <c r="L147" s="115">
        <f>SUM(L138:L146)</f>
        <v>25.1</v>
      </c>
      <c r="M147" s="115">
        <f>SUM(M138:M146)</f>
        <v>183.12</v>
      </c>
      <c r="N147" s="159"/>
      <c r="O147" s="98">
        <f>(J147+L147)*4+K147*9</f>
        <v>183.12</v>
      </c>
    </row>
    <row r="148" spans="2:15" ht="15">
      <c r="B148" s="281" t="s">
        <v>129</v>
      </c>
      <c r="C148" s="282"/>
      <c r="D148" s="282"/>
      <c r="E148" s="282"/>
      <c r="F148" s="282"/>
      <c r="G148" s="282"/>
      <c r="H148" s="282"/>
      <c r="I148" s="283"/>
      <c r="J148" s="115">
        <f>J115+J136+J147</f>
        <v>43.34</v>
      </c>
      <c r="K148" s="115">
        <f>K115+K136+K147</f>
        <v>63.54</v>
      </c>
      <c r="L148" s="115">
        <f>L115+L136+L147</f>
        <v>171.18</v>
      </c>
      <c r="M148" s="115">
        <f>M115+M136+M147</f>
        <v>1429.94</v>
      </c>
      <c r="N148" s="159"/>
      <c r="O148" s="98">
        <f>(J148+L148)*4+K148*9</f>
        <v>1429.94</v>
      </c>
    </row>
    <row r="149" spans="2:15" ht="15">
      <c r="B149" s="16"/>
      <c r="C149" s="100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73"/>
      <c r="O149" s="98"/>
    </row>
    <row r="150" spans="2:15" ht="15">
      <c r="B150" s="16"/>
      <c r="C150" s="100" t="s">
        <v>69</v>
      </c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73"/>
      <c r="O150" s="98"/>
    </row>
    <row r="151" spans="2:15" ht="28.5">
      <c r="B151" s="265" t="s">
        <v>3</v>
      </c>
      <c r="C151" s="118"/>
      <c r="D151" s="106" t="s">
        <v>4</v>
      </c>
      <c r="E151" s="267" t="s">
        <v>29</v>
      </c>
      <c r="F151" s="107" t="s">
        <v>12</v>
      </c>
      <c r="G151" s="107" t="s">
        <v>58</v>
      </c>
      <c r="H151" s="107" t="s">
        <v>30</v>
      </c>
      <c r="I151" s="107" t="s">
        <v>31</v>
      </c>
      <c r="J151" s="269" t="s">
        <v>70</v>
      </c>
      <c r="K151" s="269" t="s">
        <v>71</v>
      </c>
      <c r="L151" s="269" t="s">
        <v>72</v>
      </c>
      <c r="M151" s="269" t="s">
        <v>73</v>
      </c>
      <c r="N151" s="272" t="s">
        <v>148</v>
      </c>
      <c r="O151" s="98"/>
    </row>
    <row r="152" spans="2:15" ht="15">
      <c r="B152" s="274"/>
      <c r="C152" s="108" t="s">
        <v>0</v>
      </c>
      <c r="D152" s="105" t="s">
        <v>32</v>
      </c>
      <c r="E152" s="268"/>
      <c r="F152" s="109" t="s">
        <v>32</v>
      </c>
      <c r="G152" s="144" t="s">
        <v>32</v>
      </c>
      <c r="H152" s="144" t="s">
        <v>33</v>
      </c>
      <c r="I152" s="136" t="s">
        <v>34</v>
      </c>
      <c r="J152" s="275"/>
      <c r="K152" s="275"/>
      <c r="L152" s="275"/>
      <c r="M152" s="275"/>
      <c r="N152" s="275"/>
      <c r="O152" s="98"/>
    </row>
    <row r="153" spans="2:15" ht="14.25">
      <c r="B153" s="3">
        <v>1</v>
      </c>
      <c r="C153" s="124" t="s">
        <v>201</v>
      </c>
      <c r="D153" s="109" t="s">
        <v>230</v>
      </c>
      <c r="E153" s="132" t="s">
        <v>77</v>
      </c>
      <c r="F153" s="132">
        <v>28</v>
      </c>
      <c r="G153" s="132">
        <v>28</v>
      </c>
      <c r="H153" s="177">
        <f>R48</f>
        <v>47</v>
      </c>
      <c r="I153" s="111">
        <f aca="true" t="shared" si="8" ref="I153:I163">F153*H153/1000</f>
        <v>1.32</v>
      </c>
      <c r="J153" s="111"/>
      <c r="K153" s="111"/>
      <c r="L153" s="111"/>
      <c r="M153" s="111"/>
      <c r="N153" s="156"/>
      <c r="O153" s="98"/>
    </row>
    <row r="154" spans="2:15" ht="14.25">
      <c r="B154" s="3"/>
      <c r="C154" s="124" t="s">
        <v>202</v>
      </c>
      <c r="D154" s="113"/>
      <c r="E154" s="132" t="s">
        <v>90</v>
      </c>
      <c r="F154" s="132">
        <v>38</v>
      </c>
      <c r="G154" s="145">
        <v>38</v>
      </c>
      <c r="H154" s="109">
        <f>R14</f>
        <v>217</v>
      </c>
      <c r="I154" s="111">
        <f t="shared" si="8"/>
        <v>8.25</v>
      </c>
      <c r="J154" s="111"/>
      <c r="K154" s="111"/>
      <c r="L154" s="111"/>
      <c r="M154" s="111"/>
      <c r="N154" s="156"/>
      <c r="O154" s="98"/>
    </row>
    <row r="155" spans="2:15" ht="14.25">
      <c r="B155" s="3"/>
      <c r="C155" s="124"/>
      <c r="D155" s="113"/>
      <c r="E155" s="132" t="s">
        <v>2</v>
      </c>
      <c r="F155" s="132">
        <v>3</v>
      </c>
      <c r="G155" s="145">
        <v>3</v>
      </c>
      <c r="H155" s="109">
        <f>R46</f>
        <v>85</v>
      </c>
      <c r="I155" s="111">
        <f t="shared" si="8"/>
        <v>0.26</v>
      </c>
      <c r="J155" s="111"/>
      <c r="K155" s="111"/>
      <c r="L155" s="111"/>
      <c r="M155" s="111"/>
      <c r="N155" s="156"/>
      <c r="O155" s="98"/>
    </row>
    <row r="156" spans="2:15" ht="14.25">
      <c r="B156" s="3"/>
      <c r="C156" s="124"/>
      <c r="D156" s="113"/>
      <c r="E156" s="132" t="s">
        <v>11</v>
      </c>
      <c r="F156" s="132">
        <v>0.2</v>
      </c>
      <c r="G156" s="145">
        <v>0.2</v>
      </c>
      <c r="H156" s="111">
        <f>R5</f>
        <v>13.5</v>
      </c>
      <c r="I156" s="111">
        <f>F156*H156</f>
        <v>2.7</v>
      </c>
      <c r="J156" s="111"/>
      <c r="K156" s="111"/>
      <c r="L156" s="111"/>
      <c r="M156" s="111"/>
      <c r="N156" s="156"/>
      <c r="O156" s="98"/>
    </row>
    <row r="157" spans="2:15" ht="14.25">
      <c r="B157" s="3"/>
      <c r="C157" s="124"/>
      <c r="D157" s="113"/>
      <c r="E157" s="132" t="s">
        <v>28</v>
      </c>
      <c r="F157" s="132">
        <v>2</v>
      </c>
      <c r="G157" s="145">
        <v>2</v>
      </c>
      <c r="H157" s="109">
        <f>R11</f>
        <v>467</v>
      </c>
      <c r="I157" s="111">
        <f t="shared" si="8"/>
        <v>0.93</v>
      </c>
      <c r="J157" s="111"/>
      <c r="K157" s="111"/>
      <c r="L157" s="111"/>
      <c r="M157" s="111"/>
      <c r="N157" s="156"/>
      <c r="O157" s="98"/>
    </row>
    <row r="158" spans="2:15" ht="14.25">
      <c r="B158" s="3"/>
      <c r="C158" s="124"/>
      <c r="D158" s="113"/>
      <c r="E158" s="132" t="s">
        <v>9</v>
      </c>
      <c r="F158" s="132">
        <v>2</v>
      </c>
      <c r="G158" s="145">
        <v>2</v>
      </c>
      <c r="H158" s="109">
        <f>R12</f>
        <v>199</v>
      </c>
      <c r="I158" s="111">
        <f t="shared" si="8"/>
        <v>0.4</v>
      </c>
      <c r="J158" s="134"/>
      <c r="K158" s="134"/>
      <c r="L158" s="134"/>
      <c r="M158" s="134"/>
      <c r="N158" s="156"/>
      <c r="O158" s="98"/>
    </row>
    <row r="159" spans="2:15" ht="14.25">
      <c r="B159" s="3"/>
      <c r="C159" s="124"/>
      <c r="D159" s="113"/>
      <c r="E159" s="132" t="s">
        <v>203</v>
      </c>
      <c r="F159" s="132">
        <v>2</v>
      </c>
      <c r="G159" s="145">
        <v>2</v>
      </c>
      <c r="H159" s="109">
        <f>R56</f>
        <v>48</v>
      </c>
      <c r="I159" s="111">
        <f t="shared" si="8"/>
        <v>0.1</v>
      </c>
      <c r="J159" s="111">
        <v>11.53</v>
      </c>
      <c r="K159" s="111">
        <v>8.11</v>
      </c>
      <c r="L159" s="111">
        <v>34.76</v>
      </c>
      <c r="M159" s="111">
        <v>258.15</v>
      </c>
      <c r="N159" s="152"/>
      <c r="O159" s="98">
        <f>(J159+L159)*4+K159*9</f>
        <v>258.15</v>
      </c>
    </row>
    <row r="160" spans="2:15" ht="14.25">
      <c r="B160" s="3"/>
      <c r="C160" s="124"/>
      <c r="D160" s="113"/>
      <c r="E160" s="132" t="s">
        <v>204</v>
      </c>
      <c r="F160" s="132">
        <v>10</v>
      </c>
      <c r="G160" s="145">
        <v>10</v>
      </c>
      <c r="H160" s="109">
        <f>R17</f>
        <v>247</v>
      </c>
      <c r="I160" s="111">
        <f t="shared" si="8"/>
        <v>2.47</v>
      </c>
      <c r="J160" s="111">
        <v>0.68</v>
      </c>
      <c r="K160" s="111">
        <v>0.83</v>
      </c>
      <c r="L160" s="111">
        <v>5.35</v>
      </c>
      <c r="M160" s="111">
        <v>31.59</v>
      </c>
      <c r="N160" s="152">
        <v>452</v>
      </c>
      <c r="O160" s="98">
        <f>(J160+L160)*4+K160*9</f>
        <v>31.59</v>
      </c>
    </row>
    <row r="161" spans="2:15" ht="14.25">
      <c r="B161" s="3">
        <v>2</v>
      </c>
      <c r="C161" s="135" t="s">
        <v>35</v>
      </c>
      <c r="D161" s="136">
        <v>30</v>
      </c>
      <c r="E161" s="109" t="s">
        <v>19</v>
      </c>
      <c r="F161" s="109">
        <v>30</v>
      </c>
      <c r="G161" s="109">
        <v>30</v>
      </c>
      <c r="H161" s="109">
        <f>R56</f>
        <v>48</v>
      </c>
      <c r="I161" s="111">
        <f t="shared" si="8"/>
        <v>1.44</v>
      </c>
      <c r="J161" s="111">
        <v>2.01</v>
      </c>
      <c r="K161" s="111">
        <v>0.21</v>
      </c>
      <c r="L161" s="111">
        <v>15.09</v>
      </c>
      <c r="M161" s="111">
        <v>70.29</v>
      </c>
      <c r="N161" s="152"/>
      <c r="O161" s="98">
        <f>(J161+L161)*4+K161*9</f>
        <v>70.29</v>
      </c>
    </row>
    <row r="162" spans="2:15" ht="14.25">
      <c r="B162" s="3">
        <v>3</v>
      </c>
      <c r="C162" s="112" t="s">
        <v>13</v>
      </c>
      <c r="D162" s="109">
        <v>200</v>
      </c>
      <c r="E162" s="109" t="s">
        <v>14</v>
      </c>
      <c r="F162" s="109">
        <v>0.8</v>
      </c>
      <c r="G162" s="109">
        <v>0.8</v>
      </c>
      <c r="H162" s="109">
        <f>R54</f>
        <v>507</v>
      </c>
      <c r="I162" s="111">
        <f t="shared" si="8"/>
        <v>0.41</v>
      </c>
      <c r="J162" s="162"/>
      <c r="K162" s="162"/>
      <c r="L162" s="162"/>
      <c r="M162" s="162"/>
      <c r="N162" s="156"/>
      <c r="O162" s="98"/>
    </row>
    <row r="163" spans="2:15" ht="14.25">
      <c r="B163" s="3"/>
      <c r="C163" s="109"/>
      <c r="D163" s="113"/>
      <c r="E163" s="109" t="s">
        <v>2</v>
      </c>
      <c r="F163" s="109">
        <v>11</v>
      </c>
      <c r="G163" s="109">
        <v>11</v>
      </c>
      <c r="H163" s="109">
        <f>R46</f>
        <v>85</v>
      </c>
      <c r="I163" s="111">
        <f t="shared" si="8"/>
        <v>0.94</v>
      </c>
      <c r="J163" s="162">
        <v>0.2</v>
      </c>
      <c r="K163" s="162">
        <v>0</v>
      </c>
      <c r="L163" s="162">
        <v>14</v>
      </c>
      <c r="M163" s="162">
        <v>56.8</v>
      </c>
      <c r="N163" s="152">
        <v>376</v>
      </c>
      <c r="O163" s="98">
        <f>(J163+L163)*4+K163*9</f>
        <v>56.8</v>
      </c>
    </row>
    <row r="164" spans="2:15" ht="15">
      <c r="B164" s="3"/>
      <c r="C164" s="112"/>
      <c r="D164" s="197"/>
      <c r="E164" s="109"/>
      <c r="F164" s="109"/>
      <c r="G164" s="109"/>
      <c r="H164" s="109"/>
      <c r="I164" s="115">
        <f>SUM(I153:I163)</f>
        <v>19.22</v>
      </c>
      <c r="J164" s="115">
        <f>SUM(J153:J163)</f>
        <v>14.42</v>
      </c>
      <c r="K164" s="115">
        <f>SUM(K153:K163)</f>
        <v>9.15</v>
      </c>
      <c r="L164" s="115">
        <f>SUM(L153:L163)</f>
        <v>69.2</v>
      </c>
      <c r="M164" s="115">
        <f>SUM(M153:M163)</f>
        <v>416.83</v>
      </c>
      <c r="N164" s="159"/>
      <c r="O164" s="98">
        <f>(J164+L164)*4+K164*9</f>
        <v>416.83</v>
      </c>
    </row>
    <row r="165" spans="2:15" s="45" customFormat="1" ht="15">
      <c r="B165" s="19"/>
      <c r="C165" s="188" t="s">
        <v>5</v>
      </c>
      <c r="D165" s="248"/>
      <c r="E165" s="122"/>
      <c r="F165" s="120"/>
      <c r="G165" s="120"/>
      <c r="H165" s="120"/>
      <c r="I165" s="125"/>
      <c r="J165" s="125"/>
      <c r="K165" s="125"/>
      <c r="L165" s="125"/>
      <c r="M165" s="125"/>
      <c r="N165" s="156"/>
      <c r="O165" s="186"/>
    </row>
    <row r="166" spans="2:15" ht="14.25">
      <c r="B166" s="10">
        <v>1</v>
      </c>
      <c r="C166" s="112" t="s">
        <v>94</v>
      </c>
      <c r="D166" s="113" t="s">
        <v>180</v>
      </c>
      <c r="E166" s="109" t="s">
        <v>15</v>
      </c>
      <c r="F166" s="109">
        <v>41</v>
      </c>
      <c r="G166" s="109">
        <v>31</v>
      </c>
      <c r="H166" s="109">
        <f>R22</f>
        <v>51</v>
      </c>
      <c r="I166" s="111">
        <f aca="true" t="shared" si="9" ref="I166:I179">F166*H166/1000</f>
        <v>2.09</v>
      </c>
      <c r="J166" s="111"/>
      <c r="K166" s="111"/>
      <c r="L166" s="111"/>
      <c r="M166" s="111"/>
      <c r="N166" s="156"/>
      <c r="O166" s="98"/>
    </row>
    <row r="167" spans="2:15" ht="14.25">
      <c r="B167" s="10"/>
      <c r="C167" s="112" t="s">
        <v>95</v>
      </c>
      <c r="D167" s="113"/>
      <c r="E167" s="109" t="s">
        <v>17</v>
      </c>
      <c r="F167" s="109">
        <v>21</v>
      </c>
      <c r="G167" s="109">
        <v>16</v>
      </c>
      <c r="H167" s="109">
        <f>R19</f>
        <v>57</v>
      </c>
      <c r="I167" s="111">
        <f t="shared" si="9"/>
        <v>1.2</v>
      </c>
      <c r="J167" s="111"/>
      <c r="K167" s="111"/>
      <c r="L167" s="111"/>
      <c r="M167" s="111"/>
      <c r="N167" s="156"/>
      <c r="O167" s="98"/>
    </row>
    <row r="168" spans="2:15" ht="14.25">
      <c r="B168" s="10"/>
      <c r="C168" s="105"/>
      <c r="D168" s="113"/>
      <c r="E168" s="109" t="s">
        <v>7</v>
      </c>
      <c r="F168" s="109">
        <v>32</v>
      </c>
      <c r="G168" s="109">
        <v>20</v>
      </c>
      <c r="H168" s="109">
        <f>R18</f>
        <v>54</v>
      </c>
      <c r="I168" s="111">
        <f t="shared" si="9"/>
        <v>1.73</v>
      </c>
      <c r="J168" s="111"/>
      <c r="K168" s="111"/>
      <c r="L168" s="111"/>
      <c r="M168" s="111"/>
      <c r="N168" s="156"/>
      <c r="O168" s="98"/>
    </row>
    <row r="169" spans="2:15" ht="14.25">
      <c r="B169" s="10"/>
      <c r="C169" s="112"/>
      <c r="D169" s="113"/>
      <c r="E169" s="109" t="s">
        <v>8</v>
      </c>
      <c r="F169" s="109">
        <v>10</v>
      </c>
      <c r="G169" s="109">
        <v>8</v>
      </c>
      <c r="H169" s="109">
        <f>R21</f>
        <v>60</v>
      </c>
      <c r="I169" s="111">
        <f t="shared" si="9"/>
        <v>0.6</v>
      </c>
      <c r="J169" s="111"/>
      <c r="K169" s="111"/>
      <c r="L169" s="111"/>
      <c r="M169" s="111"/>
      <c r="N169" s="156"/>
      <c r="O169" s="98"/>
    </row>
    <row r="170" spans="2:15" ht="14.25">
      <c r="B170" s="10"/>
      <c r="C170" s="105"/>
      <c r="D170" s="113"/>
      <c r="E170" s="109" t="s">
        <v>6</v>
      </c>
      <c r="F170" s="109">
        <v>10</v>
      </c>
      <c r="G170" s="109">
        <v>9</v>
      </c>
      <c r="H170" s="109">
        <f>R20</f>
        <v>49</v>
      </c>
      <c r="I170" s="111">
        <f t="shared" si="9"/>
        <v>0.49</v>
      </c>
      <c r="J170" s="111"/>
      <c r="K170" s="111"/>
      <c r="L170" s="111"/>
      <c r="M170" s="111"/>
      <c r="N170" s="156"/>
      <c r="O170" s="98"/>
    </row>
    <row r="171" spans="2:15" ht="14.25">
      <c r="B171" s="10"/>
      <c r="C171" s="112"/>
      <c r="D171" s="109"/>
      <c r="E171" s="109" t="s">
        <v>18</v>
      </c>
      <c r="F171" s="109">
        <v>2</v>
      </c>
      <c r="G171" s="109">
        <v>2</v>
      </c>
      <c r="H171" s="109">
        <f>R26</f>
        <v>142</v>
      </c>
      <c r="I171" s="111">
        <f t="shared" si="9"/>
        <v>0.28</v>
      </c>
      <c r="J171" s="111"/>
      <c r="K171" s="111"/>
      <c r="L171" s="111"/>
      <c r="M171" s="111"/>
      <c r="N171" s="156"/>
      <c r="O171" s="98"/>
    </row>
    <row r="172" spans="2:15" ht="14.25">
      <c r="B172" s="10"/>
      <c r="C172" s="112"/>
      <c r="D172" s="109"/>
      <c r="E172" s="109" t="s">
        <v>26</v>
      </c>
      <c r="F172" s="109">
        <v>3</v>
      </c>
      <c r="G172" s="109">
        <v>3</v>
      </c>
      <c r="H172" s="109">
        <f>R33</f>
        <v>145</v>
      </c>
      <c r="I172" s="111">
        <f t="shared" si="9"/>
        <v>0.44</v>
      </c>
      <c r="J172" s="111">
        <v>2.26</v>
      </c>
      <c r="K172" s="111">
        <v>4.18</v>
      </c>
      <c r="L172" s="111">
        <v>10.2</v>
      </c>
      <c r="M172" s="111">
        <v>87.46</v>
      </c>
      <c r="N172" s="156">
        <v>176</v>
      </c>
      <c r="O172" s="98">
        <f>(J172+L172)*4+K172*9</f>
        <v>87.46</v>
      </c>
    </row>
    <row r="173" spans="2:15" ht="14.25">
      <c r="B173" s="10"/>
      <c r="C173" s="112"/>
      <c r="D173" s="109"/>
      <c r="E173" s="109" t="s">
        <v>9</v>
      </c>
      <c r="F173" s="109">
        <v>10</v>
      </c>
      <c r="G173" s="109">
        <v>10</v>
      </c>
      <c r="H173" s="109">
        <f>R12</f>
        <v>199</v>
      </c>
      <c r="I173" s="111">
        <f t="shared" si="9"/>
        <v>1.99</v>
      </c>
      <c r="J173" s="111">
        <v>0.21</v>
      </c>
      <c r="K173" s="111">
        <v>2.82</v>
      </c>
      <c r="L173" s="111">
        <v>0.31</v>
      </c>
      <c r="M173" s="111">
        <v>27.46</v>
      </c>
      <c r="N173" s="156"/>
      <c r="O173" s="98">
        <f>(J173+L173)*4+K173*9</f>
        <v>27.46</v>
      </c>
    </row>
    <row r="174" spans="2:18" ht="14.25">
      <c r="B174" s="201">
        <v>2</v>
      </c>
      <c r="C174" s="202" t="s">
        <v>216</v>
      </c>
      <c r="D174" s="3">
        <v>70</v>
      </c>
      <c r="E174" s="203" t="s">
        <v>78</v>
      </c>
      <c r="F174" s="203">
        <v>64</v>
      </c>
      <c r="G174" s="203">
        <v>56</v>
      </c>
      <c r="H174" s="109">
        <f>R34</f>
        <v>210</v>
      </c>
      <c r="I174" s="111">
        <f t="shared" si="9"/>
        <v>13.44</v>
      </c>
      <c r="J174" s="111"/>
      <c r="K174" s="111"/>
      <c r="L174" s="111"/>
      <c r="M174" s="111"/>
      <c r="N174" s="156"/>
      <c r="O174" s="98"/>
      <c r="P174" s="11"/>
      <c r="Q174" s="12"/>
      <c r="R174" s="12"/>
    </row>
    <row r="175" spans="2:18" ht="14.25">
      <c r="B175" s="201"/>
      <c r="C175" s="204"/>
      <c r="D175" s="10"/>
      <c r="E175" s="203" t="s">
        <v>6</v>
      </c>
      <c r="F175" s="203">
        <v>18</v>
      </c>
      <c r="G175" s="205">
        <v>16</v>
      </c>
      <c r="H175" s="109">
        <f>R20</f>
        <v>49</v>
      </c>
      <c r="I175" s="111">
        <f t="shared" si="9"/>
        <v>0.88</v>
      </c>
      <c r="J175" s="111"/>
      <c r="K175" s="111"/>
      <c r="L175" s="111"/>
      <c r="M175" s="111"/>
      <c r="N175" s="156"/>
      <c r="O175" s="98"/>
      <c r="P175" s="11"/>
      <c r="Q175" s="12"/>
      <c r="R175" s="12"/>
    </row>
    <row r="176" spans="2:18" ht="14.25">
      <c r="B176" s="201"/>
      <c r="C176" s="204"/>
      <c r="D176" s="10"/>
      <c r="E176" s="203" t="s">
        <v>23</v>
      </c>
      <c r="F176" s="203">
        <v>13</v>
      </c>
      <c r="G176" s="205">
        <v>13</v>
      </c>
      <c r="H176" s="109">
        <f>R15</f>
        <v>543</v>
      </c>
      <c r="I176" s="111">
        <f t="shared" si="9"/>
        <v>7.06</v>
      </c>
      <c r="J176" s="111"/>
      <c r="K176" s="111"/>
      <c r="L176" s="111"/>
      <c r="M176" s="111"/>
      <c r="N176" s="156"/>
      <c r="O176" s="98"/>
      <c r="P176" s="11"/>
      <c r="Q176" s="12"/>
      <c r="R176" s="12"/>
    </row>
    <row r="177" spans="2:18" ht="14.25">
      <c r="B177" s="201"/>
      <c r="C177" s="204"/>
      <c r="D177" s="10"/>
      <c r="E177" s="203" t="s">
        <v>26</v>
      </c>
      <c r="F177" s="203">
        <v>4</v>
      </c>
      <c r="G177" s="205">
        <v>4</v>
      </c>
      <c r="H177" s="109">
        <f>R33</f>
        <v>145</v>
      </c>
      <c r="I177" s="111">
        <f t="shared" si="9"/>
        <v>0.58</v>
      </c>
      <c r="J177" s="163">
        <v>11.29</v>
      </c>
      <c r="K177" s="163">
        <v>7.79</v>
      </c>
      <c r="L177" s="163">
        <v>2.02</v>
      </c>
      <c r="M177" s="163">
        <v>123.35</v>
      </c>
      <c r="N177" s="206"/>
      <c r="O177" s="98">
        <f>(J177+L177)*4+K177*9</f>
        <v>123.35</v>
      </c>
      <c r="P177" s="11"/>
      <c r="Q177" s="12"/>
      <c r="R177" s="12"/>
    </row>
    <row r="178" spans="2:18" ht="14.25">
      <c r="B178" s="201">
        <v>3</v>
      </c>
      <c r="C178" s="202" t="s">
        <v>217</v>
      </c>
      <c r="D178" s="3">
        <v>150</v>
      </c>
      <c r="E178" s="6" t="s">
        <v>7</v>
      </c>
      <c r="F178" s="3">
        <v>290</v>
      </c>
      <c r="G178" s="3">
        <v>218</v>
      </c>
      <c r="H178" s="177">
        <f>R18</f>
        <v>54</v>
      </c>
      <c r="I178" s="111">
        <f t="shared" si="9"/>
        <v>15.66</v>
      </c>
      <c r="J178" s="163"/>
      <c r="K178" s="163"/>
      <c r="L178" s="163"/>
      <c r="M178" s="163"/>
      <c r="N178" s="152"/>
      <c r="O178" s="98"/>
      <c r="P178" s="11"/>
      <c r="Q178" s="12"/>
      <c r="R178" s="12"/>
    </row>
    <row r="179" spans="2:18" ht="14.25">
      <c r="B179" s="201"/>
      <c r="C179" s="204"/>
      <c r="D179" s="3"/>
      <c r="E179" s="6" t="s">
        <v>26</v>
      </c>
      <c r="F179" s="3">
        <v>5</v>
      </c>
      <c r="G179" s="3">
        <v>5</v>
      </c>
      <c r="H179" s="109">
        <f>R33</f>
        <v>145</v>
      </c>
      <c r="I179" s="111">
        <f t="shared" si="9"/>
        <v>0.73</v>
      </c>
      <c r="J179" s="169">
        <v>5.1</v>
      </c>
      <c r="K179" s="169">
        <v>6.45</v>
      </c>
      <c r="L179" s="169">
        <v>40.35</v>
      </c>
      <c r="M179" s="169">
        <v>239.85</v>
      </c>
      <c r="N179" s="183"/>
      <c r="O179" s="98">
        <f>(J179+L179)*4+K179*9</f>
        <v>239.85</v>
      </c>
      <c r="P179" s="11"/>
      <c r="Q179" s="12"/>
      <c r="R179" s="12"/>
    </row>
    <row r="180" spans="2:15" ht="14.25">
      <c r="B180" s="3">
        <v>4</v>
      </c>
      <c r="C180" s="112" t="s">
        <v>35</v>
      </c>
      <c r="D180" s="113">
        <v>50</v>
      </c>
      <c r="E180" s="109" t="s">
        <v>19</v>
      </c>
      <c r="F180" s="120">
        <v>50</v>
      </c>
      <c r="G180" s="120">
        <v>50</v>
      </c>
      <c r="H180" s="109">
        <f>R56</f>
        <v>48</v>
      </c>
      <c r="I180" s="111">
        <f>F180*H180/1000</f>
        <v>2.4</v>
      </c>
      <c r="J180" s="163">
        <v>3.06</v>
      </c>
      <c r="K180" s="163">
        <v>9.54</v>
      </c>
      <c r="L180" s="163">
        <v>18.28</v>
      </c>
      <c r="M180" s="163">
        <v>171.22</v>
      </c>
      <c r="N180" s="156"/>
      <c r="O180" s="98">
        <f>(J180+L180)*4+K180*9</f>
        <v>171.22</v>
      </c>
    </row>
    <row r="181" spans="2:15" ht="14.25">
      <c r="B181" s="3">
        <v>5</v>
      </c>
      <c r="C181" s="112" t="s">
        <v>13</v>
      </c>
      <c r="D181" s="109">
        <v>200</v>
      </c>
      <c r="E181" s="109" t="s">
        <v>51</v>
      </c>
      <c r="F181" s="120">
        <v>1</v>
      </c>
      <c r="G181" s="120">
        <v>1</v>
      </c>
      <c r="H181" s="120">
        <f>R54</f>
        <v>507</v>
      </c>
      <c r="I181" s="111">
        <f>F181*H181/1000</f>
        <v>0.51</v>
      </c>
      <c r="J181" s="111"/>
      <c r="K181" s="111"/>
      <c r="L181" s="111"/>
      <c r="M181" s="111"/>
      <c r="N181" s="156"/>
      <c r="O181" s="98"/>
    </row>
    <row r="182" spans="2:15" ht="14.25">
      <c r="B182" s="3"/>
      <c r="C182" s="112"/>
      <c r="D182" s="109"/>
      <c r="E182" s="109" t="s">
        <v>2</v>
      </c>
      <c r="F182" s="120">
        <v>11</v>
      </c>
      <c r="G182" s="120">
        <v>11</v>
      </c>
      <c r="H182" s="120">
        <f>R46</f>
        <v>85</v>
      </c>
      <c r="I182" s="111">
        <f>F182*H182/1000</f>
        <v>0.94</v>
      </c>
      <c r="J182" s="162">
        <v>0.2</v>
      </c>
      <c r="K182" s="162">
        <v>0</v>
      </c>
      <c r="L182" s="162">
        <v>14</v>
      </c>
      <c r="M182" s="162">
        <v>56.8</v>
      </c>
      <c r="N182" s="156">
        <v>376</v>
      </c>
      <c r="O182" s="98">
        <f>(J182+L182)*4+K182*9</f>
        <v>56.8</v>
      </c>
    </row>
    <row r="183" spans="2:15" ht="14.25">
      <c r="B183" s="3"/>
      <c r="C183" s="112"/>
      <c r="D183" s="113"/>
      <c r="E183" s="109" t="s">
        <v>149</v>
      </c>
      <c r="F183" s="109">
        <v>2</v>
      </c>
      <c r="G183" s="109">
        <v>2</v>
      </c>
      <c r="H183" s="109">
        <f>R50</f>
        <v>27</v>
      </c>
      <c r="I183" s="111">
        <f>F183*H183/1000</f>
        <v>0.05</v>
      </c>
      <c r="J183" s="111"/>
      <c r="K183" s="111"/>
      <c r="L183" s="111"/>
      <c r="M183" s="111"/>
      <c r="N183" s="156"/>
      <c r="O183" s="98"/>
    </row>
    <row r="184" spans="2:15" ht="14.25">
      <c r="B184" s="3"/>
      <c r="C184" s="112"/>
      <c r="D184" s="109"/>
      <c r="E184" s="109" t="s">
        <v>93</v>
      </c>
      <c r="F184" s="109">
        <v>0.02</v>
      </c>
      <c r="G184" s="109">
        <v>0.02</v>
      </c>
      <c r="H184" s="109">
        <f>R55</f>
        <v>617</v>
      </c>
      <c r="I184" s="111">
        <f>F184*H184/1000</f>
        <v>0.01</v>
      </c>
      <c r="J184" s="111"/>
      <c r="K184" s="111"/>
      <c r="L184" s="111"/>
      <c r="M184" s="111"/>
      <c r="N184" s="156"/>
      <c r="O184" s="98"/>
    </row>
    <row r="185" spans="2:15" ht="15">
      <c r="B185" s="3"/>
      <c r="C185" s="109"/>
      <c r="D185" s="200"/>
      <c r="E185" s="109"/>
      <c r="F185" s="109"/>
      <c r="G185" s="109"/>
      <c r="H185" s="120"/>
      <c r="I185" s="115">
        <f>SUM(I166:I184)</f>
        <v>51.08</v>
      </c>
      <c r="J185" s="115">
        <f>SUM(J166:J184)</f>
        <v>22.12</v>
      </c>
      <c r="K185" s="115">
        <f>SUM(K166:K184)</f>
        <v>30.78</v>
      </c>
      <c r="L185" s="115">
        <f>SUM(L166:L184)</f>
        <v>85.16</v>
      </c>
      <c r="M185" s="115">
        <f>SUM(M166:M184)</f>
        <v>706.14</v>
      </c>
      <c r="N185" s="159"/>
      <c r="O185" s="98">
        <f>(J185+L185)*4+K185*9</f>
        <v>706.14</v>
      </c>
    </row>
    <row r="186" spans="2:15" s="45" customFormat="1" ht="15">
      <c r="B186" s="19"/>
      <c r="C186" s="188" t="s">
        <v>99</v>
      </c>
      <c r="D186" s="120"/>
      <c r="E186" s="120"/>
      <c r="F186" s="120"/>
      <c r="G186" s="120"/>
      <c r="H186" s="120"/>
      <c r="I186" s="123"/>
      <c r="J186" s="123"/>
      <c r="K186" s="123"/>
      <c r="L186" s="123"/>
      <c r="M186" s="123"/>
      <c r="N186" s="159"/>
      <c r="O186" s="186"/>
    </row>
    <row r="187" spans="2:15" ht="14.25">
      <c r="B187" s="6">
        <v>1</v>
      </c>
      <c r="C187" s="124" t="s">
        <v>178</v>
      </c>
      <c r="D187" s="109">
        <v>85</v>
      </c>
      <c r="E187" s="109" t="s">
        <v>74</v>
      </c>
      <c r="F187" s="120">
        <v>55</v>
      </c>
      <c r="G187" s="120">
        <v>55</v>
      </c>
      <c r="H187" s="120">
        <f>R36</f>
        <v>40</v>
      </c>
      <c r="I187" s="111">
        <f>F187*H187/1000</f>
        <v>2.2</v>
      </c>
      <c r="J187" s="162"/>
      <c r="K187" s="162"/>
      <c r="L187" s="162"/>
      <c r="M187" s="163"/>
      <c r="N187" s="156"/>
      <c r="O187" s="98"/>
    </row>
    <row r="188" spans="2:15" ht="14.25">
      <c r="B188" s="6"/>
      <c r="C188" s="124"/>
      <c r="D188" s="109"/>
      <c r="E188" s="109" t="s">
        <v>28</v>
      </c>
      <c r="F188" s="120">
        <v>6</v>
      </c>
      <c r="G188" s="120">
        <v>6</v>
      </c>
      <c r="H188" s="120">
        <f>R11</f>
        <v>467</v>
      </c>
      <c r="I188" s="111">
        <f>F188*H188/1000</f>
        <v>2.8</v>
      </c>
      <c r="J188" s="162"/>
      <c r="K188" s="162"/>
      <c r="L188" s="162"/>
      <c r="M188" s="163"/>
      <c r="N188" s="156"/>
      <c r="O188" s="98"/>
    </row>
    <row r="189" spans="2:15" ht="14.25">
      <c r="B189" s="6"/>
      <c r="C189" s="124"/>
      <c r="D189" s="109"/>
      <c r="E189" s="109" t="s">
        <v>9</v>
      </c>
      <c r="F189" s="120">
        <v>9</v>
      </c>
      <c r="G189" s="120">
        <v>9</v>
      </c>
      <c r="H189" s="120">
        <f>R12</f>
        <v>199</v>
      </c>
      <c r="I189" s="111">
        <f>F189*H189/1000</f>
        <v>1.79</v>
      </c>
      <c r="J189" s="162"/>
      <c r="K189" s="162"/>
      <c r="L189" s="162"/>
      <c r="M189" s="163"/>
      <c r="N189" s="156"/>
      <c r="O189" s="98"/>
    </row>
    <row r="190" spans="2:15" ht="14.25">
      <c r="B190" s="6"/>
      <c r="C190" s="124"/>
      <c r="D190" s="109"/>
      <c r="E190" s="109" t="s">
        <v>2</v>
      </c>
      <c r="F190" s="120">
        <v>2.5</v>
      </c>
      <c r="G190" s="120">
        <v>2.5</v>
      </c>
      <c r="H190" s="120">
        <f>R46</f>
        <v>85</v>
      </c>
      <c r="I190" s="111">
        <f>F190*H190/1000</f>
        <v>0.21</v>
      </c>
      <c r="J190" s="162"/>
      <c r="K190" s="162"/>
      <c r="L190" s="162"/>
      <c r="M190" s="163"/>
      <c r="N190" s="156"/>
      <c r="O190" s="98"/>
    </row>
    <row r="191" spans="2:15" ht="14.25">
      <c r="B191" s="6"/>
      <c r="C191" s="124"/>
      <c r="D191" s="109"/>
      <c r="E191" s="109" t="s">
        <v>11</v>
      </c>
      <c r="F191" s="120">
        <v>0.17</v>
      </c>
      <c r="G191" s="120">
        <v>0.17</v>
      </c>
      <c r="H191" s="125">
        <f>R5</f>
        <v>13.5</v>
      </c>
      <c r="I191" s="111">
        <f>F191*H191</f>
        <v>2.3</v>
      </c>
      <c r="J191" s="169">
        <v>7.32</v>
      </c>
      <c r="K191" s="169">
        <v>12.25</v>
      </c>
      <c r="L191" s="169">
        <v>49.22</v>
      </c>
      <c r="M191" s="163">
        <v>336.41</v>
      </c>
      <c r="N191" s="156">
        <v>502</v>
      </c>
      <c r="O191" s="98">
        <f>(J191+L191)*4+K191*9</f>
        <v>336.41</v>
      </c>
    </row>
    <row r="192" spans="2:15" ht="14.25">
      <c r="B192" s="6">
        <v>2</v>
      </c>
      <c r="C192" s="166" t="s">
        <v>132</v>
      </c>
      <c r="D192" s="132">
        <v>160</v>
      </c>
      <c r="E192" s="132" t="s">
        <v>133</v>
      </c>
      <c r="F192" s="167">
        <v>160</v>
      </c>
      <c r="G192" s="167">
        <v>160</v>
      </c>
      <c r="H192" s="120">
        <f>R32</f>
        <v>62</v>
      </c>
      <c r="I192" s="111">
        <f>F192*H192/1000</f>
        <v>9.92</v>
      </c>
      <c r="J192" s="125">
        <v>0.83</v>
      </c>
      <c r="K192" s="125">
        <v>0</v>
      </c>
      <c r="L192" s="125">
        <v>19.2</v>
      </c>
      <c r="M192" s="125">
        <v>80.12</v>
      </c>
      <c r="N192" s="156"/>
      <c r="O192" s="98">
        <f>(J192+L192)*4+K192*9</f>
        <v>80.12</v>
      </c>
    </row>
    <row r="193" spans="2:15" ht="15">
      <c r="B193" s="3"/>
      <c r="C193" s="109"/>
      <c r="D193" s="200"/>
      <c r="E193" s="109"/>
      <c r="F193" s="109"/>
      <c r="G193" s="109"/>
      <c r="H193" s="120"/>
      <c r="I193" s="115">
        <f>SUM(I187:I192)</f>
        <v>19.22</v>
      </c>
      <c r="J193" s="115">
        <f>SUM(J187:J192)</f>
        <v>8.15</v>
      </c>
      <c r="K193" s="115">
        <f>SUM(K187:K192)</f>
        <v>12.25</v>
      </c>
      <c r="L193" s="115">
        <f>SUM(L187:L192)</f>
        <v>68.42</v>
      </c>
      <c r="M193" s="115">
        <f>SUM(M187:M192)</f>
        <v>416.53</v>
      </c>
      <c r="N193" s="159"/>
      <c r="O193" s="98">
        <f>(J193+L193)*4+K193*9</f>
        <v>416.53</v>
      </c>
    </row>
    <row r="194" spans="2:15" ht="15">
      <c r="B194" s="281" t="s">
        <v>129</v>
      </c>
      <c r="C194" s="282"/>
      <c r="D194" s="282"/>
      <c r="E194" s="282"/>
      <c r="F194" s="282"/>
      <c r="G194" s="282"/>
      <c r="H194" s="282"/>
      <c r="I194" s="283"/>
      <c r="J194" s="115">
        <f>J164+J185+J193</f>
        <v>44.69</v>
      </c>
      <c r="K194" s="115">
        <f>K164+K185+K193</f>
        <v>52.18</v>
      </c>
      <c r="L194" s="115">
        <f>L164+L185+L193</f>
        <v>222.78</v>
      </c>
      <c r="M194" s="115">
        <f>M164+M185+M193</f>
        <v>1539.5</v>
      </c>
      <c r="N194" s="159"/>
      <c r="O194" s="98">
        <f>(J194+L194)*4+K194*9</f>
        <v>1539.5</v>
      </c>
    </row>
    <row r="195" spans="3:15" ht="15">
      <c r="C195" s="102"/>
      <c r="D195" s="129"/>
      <c r="E195" s="129"/>
      <c r="J195" s="146"/>
      <c r="K195" s="146"/>
      <c r="L195" s="146"/>
      <c r="M195" s="146"/>
      <c r="N195" s="160"/>
      <c r="O195" s="98"/>
    </row>
    <row r="196" spans="3:15" ht="15">
      <c r="C196" s="102" t="s">
        <v>68</v>
      </c>
      <c r="O196" s="98"/>
    </row>
    <row r="197" spans="2:15" ht="29.25">
      <c r="B197" s="265" t="s">
        <v>3</v>
      </c>
      <c r="C197" s="147"/>
      <c r="D197" s="131" t="s">
        <v>4</v>
      </c>
      <c r="E197" s="267" t="s">
        <v>29</v>
      </c>
      <c r="F197" s="215" t="s">
        <v>12</v>
      </c>
      <c r="G197" s="215" t="s">
        <v>58</v>
      </c>
      <c r="H197" s="215" t="s">
        <v>30</v>
      </c>
      <c r="I197" s="215" t="s">
        <v>31</v>
      </c>
      <c r="J197" s="269" t="s">
        <v>70</v>
      </c>
      <c r="K197" s="269" t="s">
        <v>71</v>
      </c>
      <c r="L197" s="269" t="s">
        <v>72</v>
      </c>
      <c r="M197" s="269" t="s">
        <v>73</v>
      </c>
      <c r="N197" s="272" t="s">
        <v>148</v>
      </c>
      <c r="O197" s="98"/>
    </row>
    <row r="198" spans="2:15" ht="15">
      <c r="B198" s="274"/>
      <c r="C198" s="108" t="s">
        <v>0</v>
      </c>
      <c r="D198" s="133" t="s">
        <v>32</v>
      </c>
      <c r="E198" s="268"/>
      <c r="F198" s="109" t="s">
        <v>32</v>
      </c>
      <c r="G198" s="109" t="s">
        <v>32</v>
      </c>
      <c r="H198" s="109" t="s">
        <v>33</v>
      </c>
      <c r="I198" s="109" t="s">
        <v>34</v>
      </c>
      <c r="J198" s="275"/>
      <c r="K198" s="275"/>
      <c r="L198" s="275"/>
      <c r="M198" s="275"/>
      <c r="N198" s="268"/>
      <c r="O198" s="98"/>
    </row>
    <row r="199" spans="2:15" ht="14.25">
      <c r="B199" s="3">
        <v>1</v>
      </c>
      <c r="C199" s="124" t="s">
        <v>91</v>
      </c>
      <c r="D199" s="133">
        <v>200</v>
      </c>
      <c r="E199" s="105" t="s">
        <v>10</v>
      </c>
      <c r="F199" s="132">
        <v>120</v>
      </c>
      <c r="G199" s="132">
        <v>120</v>
      </c>
      <c r="H199" s="177">
        <f>R10</f>
        <v>72</v>
      </c>
      <c r="I199" s="111">
        <f>F199*H199/1000</f>
        <v>8.64</v>
      </c>
      <c r="J199" s="181"/>
      <c r="K199" s="209"/>
      <c r="L199" s="181"/>
      <c r="M199" s="181"/>
      <c r="N199" s="152"/>
      <c r="O199" s="98"/>
    </row>
    <row r="200" spans="2:15" ht="14.25">
      <c r="B200" s="3"/>
      <c r="C200" s="112"/>
      <c r="D200" s="133"/>
      <c r="E200" s="105" t="s">
        <v>81</v>
      </c>
      <c r="F200" s="132">
        <v>18</v>
      </c>
      <c r="G200" s="145">
        <v>18</v>
      </c>
      <c r="H200" s="177">
        <f>R39</f>
        <v>116</v>
      </c>
      <c r="I200" s="111">
        <f>F200*H200/1000</f>
        <v>2.09</v>
      </c>
      <c r="J200" s="181"/>
      <c r="K200" s="209"/>
      <c r="L200" s="181"/>
      <c r="M200" s="181"/>
      <c r="N200" s="152"/>
      <c r="O200" s="98"/>
    </row>
    <row r="201" spans="2:15" ht="14.25">
      <c r="B201" s="3"/>
      <c r="C201" s="112"/>
      <c r="D201" s="133"/>
      <c r="E201" s="105" t="s">
        <v>2</v>
      </c>
      <c r="F201" s="132">
        <v>4</v>
      </c>
      <c r="G201" s="145">
        <v>4</v>
      </c>
      <c r="H201" s="177">
        <f>R46</f>
        <v>85</v>
      </c>
      <c r="I201" s="111">
        <f>F201*H201/1000</f>
        <v>0.34</v>
      </c>
      <c r="J201" s="181"/>
      <c r="K201" s="209"/>
      <c r="L201" s="181"/>
      <c r="M201" s="181"/>
      <c r="N201" s="152"/>
      <c r="O201" s="98"/>
    </row>
    <row r="202" spans="2:15" ht="14.25">
      <c r="B202" s="3"/>
      <c r="C202" s="112"/>
      <c r="D202" s="133"/>
      <c r="E202" s="105" t="s">
        <v>28</v>
      </c>
      <c r="F202" s="132">
        <v>5</v>
      </c>
      <c r="G202" s="145">
        <v>5</v>
      </c>
      <c r="H202" s="177">
        <f>R11</f>
        <v>467</v>
      </c>
      <c r="I202" s="111">
        <f>F202*H202/1000</f>
        <v>2.34</v>
      </c>
      <c r="J202" s="111">
        <v>6.2</v>
      </c>
      <c r="K202" s="111">
        <v>8.98</v>
      </c>
      <c r="L202" s="111">
        <v>27.19</v>
      </c>
      <c r="M202" s="111">
        <v>214.38</v>
      </c>
      <c r="N202" s="152">
        <v>411</v>
      </c>
      <c r="O202" s="98">
        <f>(J202+L202)*4+K202*9</f>
        <v>214.38</v>
      </c>
    </row>
    <row r="203" spans="2:15" ht="14.25">
      <c r="B203" s="3">
        <v>2</v>
      </c>
      <c r="C203" s="124" t="s">
        <v>147</v>
      </c>
      <c r="D203" s="133">
        <v>50</v>
      </c>
      <c r="E203" s="105" t="s">
        <v>74</v>
      </c>
      <c r="F203" s="105">
        <v>36</v>
      </c>
      <c r="G203" s="105">
        <v>36</v>
      </c>
      <c r="H203" s="177">
        <f>R36</f>
        <v>40</v>
      </c>
      <c r="I203" s="111">
        <f aca="true" t="shared" si="10" ref="I203:I210">F203*H203/1000</f>
        <v>1.44</v>
      </c>
      <c r="J203" s="163"/>
      <c r="K203" s="163"/>
      <c r="L203" s="163"/>
      <c r="M203" s="163"/>
      <c r="N203" s="172"/>
      <c r="O203" s="98"/>
    </row>
    <row r="204" spans="2:15" ht="14.25">
      <c r="B204" s="3"/>
      <c r="C204" s="112"/>
      <c r="D204" s="133"/>
      <c r="E204" s="105" t="s">
        <v>2</v>
      </c>
      <c r="F204" s="105">
        <v>3</v>
      </c>
      <c r="G204" s="105">
        <v>3</v>
      </c>
      <c r="H204" s="177">
        <f>R46</f>
        <v>85</v>
      </c>
      <c r="I204" s="111">
        <f t="shared" si="10"/>
        <v>0.26</v>
      </c>
      <c r="J204" s="163"/>
      <c r="K204" s="163"/>
      <c r="L204" s="163"/>
      <c r="M204" s="163"/>
      <c r="N204" s="172"/>
      <c r="O204" s="98"/>
    </row>
    <row r="205" spans="2:15" ht="14.25">
      <c r="B205" s="3"/>
      <c r="C205" s="112"/>
      <c r="D205" s="133"/>
      <c r="E205" s="105" t="s">
        <v>10</v>
      </c>
      <c r="F205" s="105">
        <v>10</v>
      </c>
      <c r="G205" s="105">
        <v>10</v>
      </c>
      <c r="H205" s="177">
        <f>R10</f>
        <v>72</v>
      </c>
      <c r="I205" s="111">
        <f t="shared" si="10"/>
        <v>0.72</v>
      </c>
      <c r="J205" s="163"/>
      <c r="K205" s="163"/>
      <c r="L205" s="163"/>
      <c r="M205" s="163"/>
      <c r="N205" s="172"/>
      <c r="O205" s="98"/>
    </row>
    <row r="206" spans="2:15" ht="14.25">
      <c r="B206" s="3"/>
      <c r="C206" s="112"/>
      <c r="D206" s="133"/>
      <c r="E206" s="105" t="s">
        <v>11</v>
      </c>
      <c r="F206" s="105">
        <v>0.12</v>
      </c>
      <c r="G206" s="105">
        <v>0.12</v>
      </c>
      <c r="H206" s="111">
        <f>R5</f>
        <v>13.5</v>
      </c>
      <c r="I206" s="111">
        <f>F206*H206</f>
        <v>1.62</v>
      </c>
      <c r="J206" s="163"/>
      <c r="K206" s="163"/>
      <c r="L206" s="163"/>
      <c r="M206" s="163"/>
      <c r="N206" s="172"/>
      <c r="O206" s="98"/>
    </row>
    <row r="207" spans="2:15" ht="14.25">
      <c r="B207" s="3"/>
      <c r="C207" s="112"/>
      <c r="D207" s="133"/>
      <c r="E207" s="105" t="s">
        <v>144</v>
      </c>
      <c r="F207" s="105">
        <v>0.35</v>
      </c>
      <c r="G207" s="105">
        <v>0.35</v>
      </c>
      <c r="H207" s="177">
        <f>R49</f>
        <v>377</v>
      </c>
      <c r="I207" s="111">
        <f t="shared" si="10"/>
        <v>0.13</v>
      </c>
      <c r="J207" s="163"/>
      <c r="K207" s="163"/>
      <c r="L207" s="163"/>
      <c r="M207" s="163"/>
      <c r="N207" s="172"/>
      <c r="O207" s="98"/>
    </row>
    <row r="208" spans="2:15" ht="14.25">
      <c r="B208" s="3"/>
      <c r="C208" s="112"/>
      <c r="D208" s="133"/>
      <c r="E208" s="105" t="s">
        <v>26</v>
      </c>
      <c r="F208" s="105">
        <v>2</v>
      </c>
      <c r="G208" s="105">
        <v>2</v>
      </c>
      <c r="H208" s="177">
        <f>R33</f>
        <v>145</v>
      </c>
      <c r="I208" s="111">
        <f t="shared" si="10"/>
        <v>0.29</v>
      </c>
      <c r="J208" s="196">
        <v>3.88</v>
      </c>
      <c r="K208" s="194">
        <v>2.54</v>
      </c>
      <c r="L208" s="194">
        <v>26.14</v>
      </c>
      <c r="M208" s="163">
        <v>142.94</v>
      </c>
      <c r="N208" s="172">
        <v>281</v>
      </c>
      <c r="O208" s="98">
        <f>(J208+L208)*4+K208*9</f>
        <v>142.94</v>
      </c>
    </row>
    <row r="209" spans="2:15" ht="14.25">
      <c r="B209" s="3">
        <v>3</v>
      </c>
      <c r="C209" s="112" t="s">
        <v>13</v>
      </c>
      <c r="D209" s="109">
        <v>200</v>
      </c>
      <c r="E209" s="105" t="s">
        <v>87</v>
      </c>
      <c r="F209" s="120">
        <v>0.8</v>
      </c>
      <c r="G209" s="120">
        <v>0.8</v>
      </c>
      <c r="H209" s="177">
        <f>R54</f>
        <v>507</v>
      </c>
      <c r="I209" s="111">
        <f t="shared" si="10"/>
        <v>0.41</v>
      </c>
      <c r="J209" s="111"/>
      <c r="K209" s="111"/>
      <c r="L209" s="111"/>
      <c r="M209" s="111"/>
      <c r="N209" s="156"/>
      <c r="O209" s="98"/>
    </row>
    <row r="210" spans="2:15" ht="14.25">
      <c r="B210" s="3"/>
      <c r="C210" s="112"/>
      <c r="D210" s="109"/>
      <c r="E210" s="109" t="s">
        <v>2</v>
      </c>
      <c r="F210" s="109">
        <v>11</v>
      </c>
      <c r="G210" s="109">
        <v>11</v>
      </c>
      <c r="H210" s="177">
        <f>R46</f>
        <v>85</v>
      </c>
      <c r="I210" s="111">
        <f t="shared" si="10"/>
        <v>0.94</v>
      </c>
      <c r="J210" s="162">
        <v>0.2</v>
      </c>
      <c r="K210" s="162">
        <v>0</v>
      </c>
      <c r="L210" s="162">
        <v>14</v>
      </c>
      <c r="M210" s="162">
        <v>56.8</v>
      </c>
      <c r="N210" s="156">
        <v>376</v>
      </c>
      <c r="O210" s="98">
        <f>(J210+L210)*4+K210*9</f>
        <v>56.8</v>
      </c>
    </row>
    <row r="211" spans="2:15" ht="15">
      <c r="B211" s="2"/>
      <c r="C211" s="118"/>
      <c r="D211" s="200"/>
      <c r="E211" s="109"/>
      <c r="F211" s="109"/>
      <c r="G211" s="109"/>
      <c r="H211" s="109"/>
      <c r="I211" s="115">
        <f>SUM(I199:I210)</f>
        <v>19.22</v>
      </c>
      <c r="J211" s="115">
        <f>SUM(J199:J210)</f>
        <v>10.28</v>
      </c>
      <c r="K211" s="115">
        <f>SUM(K199:K210)</f>
        <v>11.52</v>
      </c>
      <c r="L211" s="115">
        <f>SUM(L199:L210)</f>
        <v>67.33</v>
      </c>
      <c r="M211" s="115">
        <f>SUM(M199:M210)</f>
        <v>414.12</v>
      </c>
      <c r="N211" s="159"/>
      <c r="O211" s="98">
        <f>(J211+L211)*4+K211*9</f>
        <v>414.12</v>
      </c>
    </row>
    <row r="212" spans="2:15" ht="15">
      <c r="B212" s="3"/>
      <c r="C212" s="116" t="s">
        <v>5</v>
      </c>
      <c r="D212" s="133"/>
      <c r="E212" s="105"/>
      <c r="F212" s="109"/>
      <c r="G212" s="109"/>
      <c r="H212" s="109"/>
      <c r="I212" s="111"/>
      <c r="J212" s="111"/>
      <c r="K212" s="111"/>
      <c r="L212" s="111"/>
      <c r="M212" s="111"/>
      <c r="N212" s="156"/>
      <c r="O212" s="98"/>
    </row>
    <row r="213" spans="2:15" ht="14.25">
      <c r="B213" s="3">
        <v>1</v>
      </c>
      <c r="C213" s="112" t="s">
        <v>138</v>
      </c>
      <c r="D213" s="113">
        <v>200</v>
      </c>
      <c r="E213" s="109" t="s">
        <v>7</v>
      </c>
      <c r="F213" s="109">
        <v>60</v>
      </c>
      <c r="G213" s="109">
        <v>43</v>
      </c>
      <c r="H213" s="109">
        <f>R18</f>
        <v>54</v>
      </c>
      <c r="I213" s="111">
        <f aca="true" t="shared" si="11" ref="I213:I229">F213*H213/1000</f>
        <v>3.24</v>
      </c>
      <c r="J213" s="111"/>
      <c r="K213" s="111"/>
      <c r="L213" s="111"/>
      <c r="M213" s="111"/>
      <c r="N213" s="156"/>
      <c r="O213" s="98"/>
    </row>
    <row r="214" spans="2:15" ht="14.25">
      <c r="B214" s="3"/>
      <c r="C214" s="112"/>
      <c r="D214" s="113"/>
      <c r="E214" s="109" t="s">
        <v>21</v>
      </c>
      <c r="F214" s="109">
        <v>14</v>
      </c>
      <c r="G214" s="109">
        <v>13</v>
      </c>
      <c r="H214" s="109">
        <f>R42</f>
        <v>54</v>
      </c>
      <c r="I214" s="111">
        <f t="shared" si="11"/>
        <v>0.76</v>
      </c>
      <c r="J214" s="111"/>
      <c r="K214" s="111"/>
      <c r="L214" s="111"/>
      <c r="M214" s="111"/>
      <c r="N214" s="156"/>
      <c r="O214" s="98"/>
    </row>
    <row r="215" spans="2:15" ht="14.25">
      <c r="B215" s="3"/>
      <c r="C215" s="105"/>
      <c r="D215" s="113"/>
      <c r="E215" s="109" t="s">
        <v>6</v>
      </c>
      <c r="F215" s="109">
        <v>10</v>
      </c>
      <c r="G215" s="109">
        <v>8</v>
      </c>
      <c r="H215" s="109">
        <f>R20</f>
        <v>49</v>
      </c>
      <c r="I215" s="111">
        <f t="shared" si="11"/>
        <v>0.49</v>
      </c>
      <c r="J215" s="111"/>
      <c r="K215" s="111"/>
      <c r="L215" s="111"/>
      <c r="M215" s="111"/>
      <c r="N215" s="156"/>
      <c r="O215" s="98"/>
    </row>
    <row r="216" spans="2:15" ht="14.25">
      <c r="B216" s="3"/>
      <c r="C216" s="112"/>
      <c r="D216" s="113"/>
      <c r="E216" s="109" t="s">
        <v>8</v>
      </c>
      <c r="F216" s="109">
        <v>10</v>
      </c>
      <c r="G216" s="109">
        <v>8</v>
      </c>
      <c r="H216" s="109">
        <f>R21</f>
        <v>60</v>
      </c>
      <c r="I216" s="111">
        <f t="shared" si="11"/>
        <v>0.6</v>
      </c>
      <c r="J216" s="111"/>
      <c r="K216" s="111"/>
      <c r="L216" s="111"/>
      <c r="M216" s="111"/>
      <c r="N216" s="156"/>
      <c r="O216" s="98"/>
    </row>
    <row r="217" spans="2:15" ht="14.25">
      <c r="B217" s="3"/>
      <c r="C217" s="105"/>
      <c r="D217" s="113"/>
      <c r="E217" s="109" t="s">
        <v>26</v>
      </c>
      <c r="F217" s="109">
        <v>4</v>
      </c>
      <c r="G217" s="109">
        <v>4</v>
      </c>
      <c r="H217" s="109">
        <f>R33</f>
        <v>145</v>
      </c>
      <c r="I217" s="111">
        <f t="shared" si="11"/>
        <v>0.58</v>
      </c>
      <c r="J217" s="111">
        <v>4.96</v>
      </c>
      <c r="K217" s="111">
        <v>4.41</v>
      </c>
      <c r="L217" s="111">
        <v>16.44</v>
      </c>
      <c r="M217" s="111">
        <v>125.29</v>
      </c>
      <c r="N217" s="152">
        <v>221</v>
      </c>
      <c r="O217" s="98">
        <f>(J217+L217)*4+K217*9</f>
        <v>125.29</v>
      </c>
    </row>
    <row r="218" spans="2:15" s="45" customFormat="1" ht="14.25">
      <c r="B218" s="19">
        <v>2</v>
      </c>
      <c r="C218" s="242" t="s">
        <v>219</v>
      </c>
      <c r="D218" s="19">
        <v>60</v>
      </c>
      <c r="E218" s="19" t="s">
        <v>16</v>
      </c>
      <c r="F218" s="19">
        <v>43</v>
      </c>
      <c r="G218" s="19">
        <v>43</v>
      </c>
      <c r="H218" s="120">
        <f>R6</f>
        <v>622</v>
      </c>
      <c r="I218" s="125">
        <f t="shared" si="11"/>
        <v>26.75</v>
      </c>
      <c r="J218" s="125"/>
      <c r="K218" s="125"/>
      <c r="L218" s="125"/>
      <c r="M218" s="125"/>
      <c r="N218" s="156"/>
      <c r="O218" s="186"/>
    </row>
    <row r="219" spans="2:15" ht="14.25">
      <c r="B219" s="3"/>
      <c r="C219" s="3"/>
      <c r="D219" s="3"/>
      <c r="E219" s="3" t="s">
        <v>19</v>
      </c>
      <c r="F219" s="3">
        <v>9</v>
      </c>
      <c r="G219" s="3">
        <v>9</v>
      </c>
      <c r="H219" s="109">
        <f>R56</f>
        <v>48</v>
      </c>
      <c r="I219" s="111">
        <f t="shared" si="11"/>
        <v>0.43</v>
      </c>
      <c r="J219" s="111"/>
      <c r="K219" s="111"/>
      <c r="L219" s="111"/>
      <c r="M219" s="111"/>
      <c r="N219" s="156"/>
      <c r="O219" s="98"/>
    </row>
    <row r="220" spans="2:15" ht="14.25">
      <c r="B220" s="3"/>
      <c r="C220" s="246"/>
      <c r="D220" s="3"/>
      <c r="E220" s="3" t="s">
        <v>218</v>
      </c>
      <c r="F220" s="3">
        <v>9</v>
      </c>
      <c r="G220" s="3">
        <v>9</v>
      </c>
      <c r="H220" s="109">
        <f>R56</f>
        <v>48</v>
      </c>
      <c r="I220" s="111">
        <f t="shared" si="11"/>
        <v>0.43</v>
      </c>
      <c r="J220" s="111"/>
      <c r="K220" s="111"/>
      <c r="L220" s="111"/>
      <c r="M220" s="111"/>
      <c r="N220" s="156"/>
      <c r="O220" s="98"/>
    </row>
    <row r="221" spans="2:15" ht="14.25">
      <c r="B221" s="3"/>
      <c r="C221" s="3"/>
      <c r="D221" s="3"/>
      <c r="E221" s="3" t="s">
        <v>6</v>
      </c>
      <c r="F221" s="3">
        <v>9</v>
      </c>
      <c r="G221" s="3">
        <v>7</v>
      </c>
      <c r="H221" s="109">
        <f>R20</f>
        <v>49</v>
      </c>
      <c r="I221" s="111">
        <f t="shared" si="11"/>
        <v>0.44</v>
      </c>
      <c r="J221" s="111"/>
      <c r="K221" s="111"/>
      <c r="L221" s="111"/>
      <c r="M221" s="111"/>
      <c r="N221" s="156"/>
      <c r="O221" s="98"/>
    </row>
    <row r="222" spans="2:15" ht="14.25">
      <c r="B222" s="3"/>
      <c r="C222" s="3"/>
      <c r="D222" s="3"/>
      <c r="E222" s="3" t="s">
        <v>11</v>
      </c>
      <c r="F222" s="3">
        <v>0.08</v>
      </c>
      <c r="G222" s="3">
        <v>0.08</v>
      </c>
      <c r="H222" s="111">
        <f>R5</f>
        <v>13.5</v>
      </c>
      <c r="I222" s="111">
        <f>F222*H222</f>
        <v>1.08</v>
      </c>
      <c r="J222" s="163"/>
      <c r="K222" s="163"/>
      <c r="L222" s="163"/>
      <c r="M222" s="163"/>
      <c r="N222" s="156"/>
      <c r="O222" s="98"/>
    </row>
    <row r="223" spans="2:15" ht="14.25">
      <c r="B223" s="3"/>
      <c r="C223" s="3"/>
      <c r="D223" s="3"/>
      <c r="E223" s="3" t="s">
        <v>26</v>
      </c>
      <c r="F223" s="3">
        <v>3</v>
      </c>
      <c r="G223" s="3">
        <v>3</v>
      </c>
      <c r="H223" s="109">
        <f>R33</f>
        <v>145</v>
      </c>
      <c r="I223" s="111">
        <f t="shared" si="11"/>
        <v>0.44</v>
      </c>
      <c r="J223" s="195">
        <v>9.33</v>
      </c>
      <c r="K223" s="195">
        <v>14.83</v>
      </c>
      <c r="L223" s="195">
        <v>9.42</v>
      </c>
      <c r="M223" s="195">
        <v>208.47</v>
      </c>
      <c r="N223" s="211">
        <v>658</v>
      </c>
      <c r="O223" s="98">
        <f>(J223+L223)*4+K223*9</f>
        <v>208.47</v>
      </c>
    </row>
    <row r="224" spans="2:15" ht="14.25">
      <c r="B224" s="3"/>
      <c r="C224" s="242"/>
      <c r="D224" s="19"/>
      <c r="E224" s="3" t="s">
        <v>28</v>
      </c>
      <c r="F224" s="3">
        <v>5</v>
      </c>
      <c r="G224" s="3">
        <v>5</v>
      </c>
      <c r="H224" s="109">
        <f>R11</f>
        <v>467</v>
      </c>
      <c r="I224" s="111">
        <f t="shared" si="11"/>
        <v>2.34</v>
      </c>
      <c r="J224" s="162">
        <v>0.02</v>
      </c>
      <c r="K224" s="163">
        <v>3.93</v>
      </c>
      <c r="L224" s="163">
        <v>0.03</v>
      </c>
      <c r="M224" s="163">
        <v>35.57</v>
      </c>
      <c r="N224" s="206"/>
      <c r="O224" s="98">
        <f>(J224+L224)*4+K224*9</f>
        <v>35.57</v>
      </c>
    </row>
    <row r="225" spans="2:15" ht="14.25">
      <c r="B225" s="3">
        <v>3</v>
      </c>
      <c r="C225" s="202" t="s">
        <v>128</v>
      </c>
      <c r="D225" s="3">
        <v>150</v>
      </c>
      <c r="E225" s="3" t="s">
        <v>127</v>
      </c>
      <c r="F225" s="3">
        <v>50</v>
      </c>
      <c r="G225" s="3">
        <v>50</v>
      </c>
      <c r="H225" s="109">
        <f>R37</f>
        <v>85</v>
      </c>
      <c r="I225" s="111">
        <f t="shared" si="11"/>
        <v>4.25</v>
      </c>
      <c r="J225" s="195"/>
      <c r="K225" s="195"/>
      <c r="L225" s="195"/>
      <c r="M225" s="195"/>
      <c r="N225" s="211"/>
      <c r="O225" s="98"/>
    </row>
    <row r="226" spans="2:15" ht="14.25">
      <c r="B226" s="3"/>
      <c r="C226" s="210"/>
      <c r="D226" s="17"/>
      <c r="E226" s="17" t="s">
        <v>28</v>
      </c>
      <c r="F226" s="3">
        <v>8</v>
      </c>
      <c r="G226" s="3">
        <v>8</v>
      </c>
      <c r="H226" s="109">
        <f>R11</f>
        <v>467</v>
      </c>
      <c r="I226" s="111">
        <f t="shared" si="11"/>
        <v>3.74</v>
      </c>
      <c r="J226" s="192">
        <v>8.63</v>
      </c>
      <c r="K226" s="195">
        <v>6.09</v>
      </c>
      <c r="L226" s="195">
        <v>38.64</v>
      </c>
      <c r="M226" s="195">
        <f>(J226+L226)*4+K226*9</f>
        <v>243.89</v>
      </c>
      <c r="N226" s="211">
        <v>302</v>
      </c>
      <c r="O226" s="98">
        <f>(J226+L226)*4+K226*9</f>
        <v>243.89</v>
      </c>
    </row>
    <row r="227" spans="2:18" ht="14.25">
      <c r="B227" s="3">
        <v>4</v>
      </c>
      <c r="C227" s="118" t="s">
        <v>35</v>
      </c>
      <c r="D227" s="113">
        <v>50</v>
      </c>
      <c r="E227" s="109" t="s">
        <v>19</v>
      </c>
      <c r="F227" s="109">
        <v>50</v>
      </c>
      <c r="G227" s="109">
        <v>50</v>
      </c>
      <c r="H227" s="120">
        <f>R56</f>
        <v>48</v>
      </c>
      <c r="I227" s="111">
        <f t="shared" si="11"/>
        <v>2.4</v>
      </c>
      <c r="J227" s="163">
        <v>3.06</v>
      </c>
      <c r="K227" s="163">
        <v>9.54</v>
      </c>
      <c r="L227" s="163">
        <v>18.28</v>
      </c>
      <c r="M227" s="163">
        <v>171.22</v>
      </c>
      <c r="N227" s="156">
        <v>1</v>
      </c>
      <c r="O227" s="98">
        <f>(J227+L227)*4+K227*9</f>
        <v>171.22</v>
      </c>
      <c r="P227" s="12"/>
      <c r="Q227" s="20"/>
      <c r="R227" s="13"/>
    </row>
    <row r="228" spans="2:18" s="45" customFormat="1" ht="14.25">
      <c r="B228" s="19">
        <v>5</v>
      </c>
      <c r="C228" s="153" t="s">
        <v>25</v>
      </c>
      <c r="D228" s="120">
        <v>200</v>
      </c>
      <c r="E228" s="120" t="s">
        <v>20</v>
      </c>
      <c r="F228" s="120">
        <v>14</v>
      </c>
      <c r="G228" s="120">
        <v>14</v>
      </c>
      <c r="H228" s="120">
        <f>R29</f>
        <v>140</v>
      </c>
      <c r="I228" s="125">
        <f t="shared" si="11"/>
        <v>1.96</v>
      </c>
      <c r="J228" s="125"/>
      <c r="K228" s="125"/>
      <c r="L228" s="125"/>
      <c r="M228" s="125"/>
      <c r="N228" s="156"/>
      <c r="O228" s="98"/>
      <c r="P228" s="20"/>
      <c r="Q228" s="20"/>
      <c r="R228" s="187"/>
    </row>
    <row r="229" spans="2:18" ht="14.25">
      <c r="B229" s="3"/>
      <c r="C229" s="109"/>
      <c r="D229" s="109"/>
      <c r="E229" s="109" t="s">
        <v>2</v>
      </c>
      <c r="F229" s="109">
        <v>13</v>
      </c>
      <c r="G229" s="109">
        <v>13</v>
      </c>
      <c r="H229" s="120">
        <f>R46</f>
        <v>85</v>
      </c>
      <c r="I229" s="111">
        <f t="shared" si="11"/>
        <v>1.11</v>
      </c>
      <c r="J229" s="194">
        <v>0.04</v>
      </c>
      <c r="K229" s="194">
        <v>0</v>
      </c>
      <c r="L229" s="194">
        <v>24.76</v>
      </c>
      <c r="M229" s="163">
        <v>99.2</v>
      </c>
      <c r="N229" s="156">
        <v>349</v>
      </c>
      <c r="O229" s="98">
        <f>(J229+L229)*4+K229*9</f>
        <v>99.2</v>
      </c>
      <c r="P229" s="12"/>
      <c r="Q229" s="20"/>
      <c r="R229" s="13"/>
    </row>
    <row r="230" spans="2:18" ht="14.25">
      <c r="B230" s="3"/>
      <c r="C230" s="112"/>
      <c r="D230" s="109"/>
      <c r="E230" s="109" t="s">
        <v>98</v>
      </c>
      <c r="F230" s="120">
        <v>0.0005</v>
      </c>
      <c r="G230" s="120">
        <v>0.0005</v>
      </c>
      <c r="H230" s="120"/>
      <c r="I230" s="111"/>
      <c r="J230" s="111"/>
      <c r="K230" s="111"/>
      <c r="L230" s="111"/>
      <c r="M230" s="111"/>
      <c r="N230" s="156"/>
      <c r="O230" s="98"/>
      <c r="P230" s="12"/>
      <c r="Q230" s="20"/>
      <c r="R230" s="13"/>
    </row>
    <row r="231" spans="2:18" ht="14.25">
      <c r="B231" s="3"/>
      <c r="C231" s="112"/>
      <c r="D231" s="112"/>
      <c r="E231" s="105" t="s">
        <v>149</v>
      </c>
      <c r="F231" s="105">
        <v>1</v>
      </c>
      <c r="G231" s="105">
        <v>1</v>
      </c>
      <c r="H231" s="105">
        <f>R50</f>
        <v>27</v>
      </c>
      <c r="I231" s="111">
        <f>H231*F231/1000</f>
        <v>0.03</v>
      </c>
      <c r="J231" s="111"/>
      <c r="K231" s="111"/>
      <c r="L231" s="111"/>
      <c r="M231" s="111"/>
      <c r="N231" s="156"/>
      <c r="O231" s="98"/>
      <c r="P231" s="12"/>
      <c r="Q231" s="20"/>
      <c r="R231" s="13"/>
    </row>
    <row r="232" spans="2:18" ht="14.25">
      <c r="B232" s="3"/>
      <c r="C232" s="112"/>
      <c r="D232" s="112"/>
      <c r="E232" s="105" t="s">
        <v>93</v>
      </c>
      <c r="F232" s="105">
        <v>0.02</v>
      </c>
      <c r="G232" s="105">
        <v>0.02</v>
      </c>
      <c r="H232" s="105">
        <f>R55</f>
        <v>617</v>
      </c>
      <c r="I232" s="111">
        <f>H232*F232/1000</f>
        <v>0.01</v>
      </c>
      <c r="J232" s="111"/>
      <c r="K232" s="111"/>
      <c r="L232" s="111"/>
      <c r="M232" s="111"/>
      <c r="N232" s="156"/>
      <c r="O232" s="98"/>
      <c r="P232" s="12"/>
      <c r="Q232" s="20"/>
      <c r="R232" s="13"/>
    </row>
    <row r="233" spans="2:18" ht="15">
      <c r="B233" s="3"/>
      <c r="C233" s="105"/>
      <c r="D233" s="200"/>
      <c r="E233" s="109"/>
      <c r="F233" s="109"/>
      <c r="G233" s="109"/>
      <c r="H233" s="109"/>
      <c r="I233" s="115">
        <f>SUM(I213:I232)</f>
        <v>51.08</v>
      </c>
      <c r="J233" s="115">
        <f>SUM(J213:J232)</f>
        <v>26.04</v>
      </c>
      <c r="K233" s="115">
        <f>SUM(K213:K232)</f>
        <v>38.8</v>
      </c>
      <c r="L233" s="115">
        <f>SUM(L213:L232)</f>
        <v>107.57</v>
      </c>
      <c r="M233" s="115">
        <f>SUM(M213:M232)</f>
        <v>883.64</v>
      </c>
      <c r="N233" s="159"/>
      <c r="O233" s="98">
        <f>(J233+L233)*4+K233*9</f>
        <v>883.64</v>
      </c>
      <c r="P233" s="12"/>
      <c r="Q233" s="20"/>
      <c r="R233" s="13"/>
    </row>
    <row r="234" spans="2:18" ht="15">
      <c r="B234" s="3"/>
      <c r="C234" s="108" t="s">
        <v>99</v>
      </c>
      <c r="D234" s="109"/>
      <c r="E234" s="109"/>
      <c r="F234" s="109"/>
      <c r="G234" s="109"/>
      <c r="H234" s="109"/>
      <c r="I234" s="123"/>
      <c r="J234" s="123"/>
      <c r="K234" s="123"/>
      <c r="L234" s="123"/>
      <c r="M234" s="123"/>
      <c r="N234" s="159"/>
      <c r="O234" s="98"/>
      <c r="P234" s="12"/>
      <c r="Q234" s="20"/>
      <c r="R234" s="13"/>
    </row>
    <row r="235" spans="2:18" ht="14.25">
      <c r="B235" s="6">
        <v>1</v>
      </c>
      <c r="C235" s="124" t="s">
        <v>175</v>
      </c>
      <c r="D235" s="120">
        <v>70</v>
      </c>
      <c r="E235" s="120" t="s">
        <v>74</v>
      </c>
      <c r="F235" s="120">
        <v>46</v>
      </c>
      <c r="G235" s="120">
        <v>46</v>
      </c>
      <c r="H235" s="109">
        <f>R36</f>
        <v>40</v>
      </c>
      <c r="I235" s="111">
        <f>H235*F235/1000</f>
        <v>1.84</v>
      </c>
      <c r="J235" s="162"/>
      <c r="K235" s="162"/>
      <c r="L235" s="162"/>
      <c r="M235" s="163"/>
      <c r="N235" s="156"/>
      <c r="O235" s="98"/>
      <c r="P235" s="12"/>
      <c r="Q235" s="20"/>
      <c r="R235" s="13"/>
    </row>
    <row r="236" spans="2:18" ht="14.25">
      <c r="B236" s="6"/>
      <c r="C236" s="112"/>
      <c r="D236" s="109"/>
      <c r="E236" s="109" t="s">
        <v>10</v>
      </c>
      <c r="F236" s="120">
        <v>15</v>
      </c>
      <c r="G236" s="120">
        <v>15</v>
      </c>
      <c r="H236" s="109">
        <f>R10</f>
        <v>72</v>
      </c>
      <c r="I236" s="111">
        <f aca="true" t="shared" si="12" ref="I236:I242">H236*F236/1000</f>
        <v>1.08</v>
      </c>
      <c r="J236" s="162"/>
      <c r="K236" s="162"/>
      <c r="L236" s="162"/>
      <c r="M236" s="163"/>
      <c r="N236" s="156"/>
      <c r="O236" s="98"/>
      <c r="P236" s="12"/>
      <c r="Q236" s="20"/>
      <c r="R236" s="13"/>
    </row>
    <row r="237" spans="2:18" ht="14.25">
      <c r="B237" s="6"/>
      <c r="C237" s="118"/>
      <c r="D237" s="109"/>
      <c r="E237" s="109" t="s">
        <v>11</v>
      </c>
      <c r="F237" s="120">
        <v>0.1</v>
      </c>
      <c r="G237" s="120">
        <v>0.1</v>
      </c>
      <c r="H237" s="111">
        <f>R5</f>
        <v>13.5</v>
      </c>
      <c r="I237" s="111">
        <f>H237*F237</f>
        <v>1.35</v>
      </c>
      <c r="J237" s="162"/>
      <c r="K237" s="162"/>
      <c r="L237" s="162"/>
      <c r="M237" s="163"/>
      <c r="N237" s="156"/>
      <c r="O237" s="98"/>
      <c r="P237" s="12"/>
      <c r="Q237" s="20"/>
      <c r="R237" s="13"/>
    </row>
    <row r="238" spans="2:18" ht="14.25">
      <c r="B238" s="6"/>
      <c r="C238" s="112"/>
      <c r="D238" s="109"/>
      <c r="E238" s="109" t="s">
        <v>2</v>
      </c>
      <c r="F238" s="120">
        <v>4.5</v>
      </c>
      <c r="G238" s="120">
        <v>4.5</v>
      </c>
      <c r="H238" s="109">
        <f>R46</f>
        <v>85</v>
      </c>
      <c r="I238" s="111">
        <f t="shared" si="12"/>
        <v>0.38</v>
      </c>
      <c r="J238" s="162"/>
      <c r="K238" s="162"/>
      <c r="L238" s="162"/>
      <c r="M238" s="163"/>
      <c r="N238" s="156"/>
      <c r="O238" s="98"/>
      <c r="P238" s="12"/>
      <c r="Q238" s="20"/>
      <c r="R238" s="13"/>
    </row>
    <row r="239" spans="2:18" ht="14.25">
      <c r="B239" s="6"/>
      <c r="C239" s="112"/>
      <c r="D239" s="109"/>
      <c r="E239" s="109" t="s">
        <v>144</v>
      </c>
      <c r="F239" s="120">
        <v>0.9</v>
      </c>
      <c r="G239" s="120">
        <v>0.9</v>
      </c>
      <c r="H239" s="109">
        <f>R49</f>
        <v>377</v>
      </c>
      <c r="I239" s="111">
        <f t="shared" si="12"/>
        <v>0.34</v>
      </c>
      <c r="J239" s="162"/>
      <c r="K239" s="162"/>
      <c r="L239" s="162"/>
      <c r="M239" s="163"/>
      <c r="N239" s="156"/>
      <c r="O239" s="98"/>
      <c r="P239" s="12"/>
      <c r="Q239" s="20"/>
      <c r="R239" s="13"/>
    </row>
    <row r="240" spans="2:18" ht="14.25">
      <c r="B240" s="6"/>
      <c r="C240" s="112"/>
      <c r="D240" s="109"/>
      <c r="E240" s="109" t="s">
        <v>28</v>
      </c>
      <c r="F240" s="120">
        <v>1</v>
      </c>
      <c r="G240" s="120">
        <v>1</v>
      </c>
      <c r="H240" s="109">
        <f>R11</f>
        <v>467</v>
      </c>
      <c r="I240" s="111">
        <f t="shared" si="12"/>
        <v>0.47</v>
      </c>
      <c r="J240" s="162"/>
      <c r="K240" s="162"/>
      <c r="L240" s="162"/>
      <c r="M240" s="163"/>
      <c r="N240" s="156"/>
      <c r="O240" s="98"/>
      <c r="P240" s="12"/>
      <c r="Q240" s="20"/>
      <c r="R240" s="13"/>
    </row>
    <row r="241" spans="2:18" ht="14.25">
      <c r="B241" s="6"/>
      <c r="C241" s="112"/>
      <c r="D241" s="109"/>
      <c r="E241" s="109" t="s">
        <v>26</v>
      </c>
      <c r="F241" s="120">
        <v>4</v>
      </c>
      <c r="G241" s="120">
        <v>4</v>
      </c>
      <c r="H241" s="109">
        <f>R33</f>
        <v>145</v>
      </c>
      <c r="I241" s="111">
        <f t="shared" si="12"/>
        <v>0.58</v>
      </c>
      <c r="J241" s="162"/>
      <c r="K241" s="162"/>
      <c r="L241" s="162"/>
      <c r="M241" s="163"/>
      <c r="N241" s="156"/>
      <c r="O241" s="98"/>
      <c r="P241" s="12"/>
      <c r="Q241" s="20"/>
      <c r="R241" s="13"/>
    </row>
    <row r="242" spans="2:18" ht="14.25">
      <c r="B242" s="6"/>
      <c r="C242" s="112"/>
      <c r="D242" s="109"/>
      <c r="E242" s="109" t="s">
        <v>90</v>
      </c>
      <c r="F242" s="120">
        <v>15</v>
      </c>
      <c r="G242" s="120">
        <v>15</v>
      </c>
      <c r="H242" s="109">
        <f>R14</f>
        <v>217</v>
      </c>
      <c r="I242" s="111">
        <f t="shared" si="12"/>
        <v>3.26</v>
      </c>
      <c r="J242" s="111">
        <v>7.34</v>
      </c>
      <c r="K242" s="111">
        <v>7.63</v>
      </c>
      <c r="L242" s="111">
        <v>23.18</v>
      </c>
      <c r="M242" s="111">
        <v>190.75</v>
      </c>
      <c r="N242" s="152">
        <v>140</v>
      </c>
      <c r="O242" s="98">
        <f>(J242+L242)*4+K242*9</f>
        <v>190.75</v>
      </c>
      <c r="P242" s="12"/>
      <c r="Q242" s="20"/>
      <c r="R242" s="13"/>
    </row>
    <row r="243" spans="2:18" ht="14.25">
      <c r="B243" s="6">
        <v>2</v>
      </c>
      <c r="C243" s="166" t="s">
        <v>132</v>
      </c>
      <c r="D243" s="132">
        <v>160</v>
      </c>
      <c r="E243" s="132" t="s">
        <v>133</v>
      </c>
      <c r="F243" s="167">
        <v>160</v>
      </c>
      <c r="G243" s="167">
        <v>160</v>
      </c>
      <c r="H243" s="109">
        <f>R32</f>
        <v>62</v>
      </c>
      <c r="I243" s="111">
        <f>H243*F243/1000</f>
        <v>9.92</v>
      </c>
      <c r="J243" s="125">
        <v>0.83</v>
      </c>
      <c r="K243" s="125">
        <v>0</v>
      </c>
      <c r="L243" s="125">
        <v>19.2</v>
      </c>
      <c r="M243" s="125">
        <v>80.12</v>
      </c>
      <c r="N243" s="156"/>
      <c r="O243" s="98">
        <f>(J243+L243)*4+K243*9</f>
        <v>80.12</v>
      </c>
      <c r="P243" s="12"/>
      <c r="Q243" s="20"/>
      <c r="R243" s="13"/>
    </row>
    <row r="244" spans="2:15" ht="15">
      <c r="B244" s="2"/>
      <c r="C244" s="118"/>
      <c r="D244" s="200"/>
      <c r="E244" s="9"/>
      <c r="F244" s="9"/>
      <c r="G244" s="9"/>
      <c r="H244" s="109"/>
      <c r="I244" s="115">
        <f>SUM(I235:I243)</f>
        <v>19.22</v>
      </c>
      <c r="J244" s="115">
        <f>SUM(J235:J243)</f>
        <v>8.17</v>
      </c>
      <c r="K244" s="115">
        <f>SUM(K235:K243)</f>
        <v>7.63</v>
      </c>
      <c r="L244" s="115">
        <f>SUM(L235:L243)</f>
        <v>42.38</v>
      </c>
      <c r="M244" s="115">
        <f>SUM(M235:M243)</f>
        <v>270.87</v>
      </c>
      <c r="N244" s="159"/>
      <c r="O244" s="98">
        <f>(J244+L244)*4+K244*9</f>
        <v>270.87</v>
      </c>
    </row>
    <row r="245" spans="2:15" ht="15">
      <c r="B245" s="281" t="s">
        <v>129</v>
      </c>
      <c r="C245" s="282"/>
      <c r="D245" s="282"/>
      <c r="E245" s="282"/>
      <c r="F245" s="282"/>
      <c r="G245" s="282"/>
      <c r="H245" s="282"/>
      <c r="I245" s="283"/>
      <c r="J245" s="149">
        <f>J211+J233+J244</f>
        <v>44.49</v>
      </c>
      <c r="K245" s="149">
        <f>K211+K233+K244</f>
        <v>57.95</v>
      </c>
      <c r="L245" s="149">
        <f>L211+L233+L244</f>
        <v>217.28</v>
      </c>
      <c r="M245" s="149">
        <f>M211+M233+M244</f>
        <v>1568.63</v>
      </c>
      <c r="N245" s="174"/>
      <c r="O245" s="98">
        <f>(J245+L245)*4+K245*9</f>
        <v>1568.63</v>
      </c>
    </row>
    <row r="246" spans="2:15" ht="15">
      <c r="B246" s="16"/>
      <c r="C246" s="128"/>
      <c r="D246" s="129"/>
      <c r="E246" s="129"/>
      <c r="O246" s="98"/>
    </row>
    <row r="247" spans="2:15" s="45" customFormat="1" ht="15">
      <c r="B247" s="189"/>
      <c r="C247" s="128" t="s">
        <v>38</v>
      </c>
      <c r="D247" s="191"/>
      <c r="E247" s="191"/>
      <c r="F247" s="101"/>
      <c r="G247" s="101"/>
      <c r="H247" s="101"/>
      <c r="I247" s="101"/>
      <c r="J247" s="101"/>
      <c r="K247" s="101"/>
      <c r="L247" s="101"/>
      <c r="M247" s="101"/>
      <c r="N247" s="171"/>
      <c r="O247" s="186"/>
    </row>
    <row r="248" spans="2:22" ht="28.5">
      <c r="B248" s="265" t="s">
        <v>3</v>
      </c>
      <c r="C248" s="105"/>
      <c r="D248" s="105" t="s">
        <v>4</v>
      </c>
      <c r="E248" s="267" t="s">
        <v>29</v>
      </c>
      <c r="F248" s="107" t="s">
        <v>12</v>
      </c>
      <c r="G248" s="107" t="s">
        <v>58</v>
      </c>
      <c r="H248" s="107" t="s">
        <v>30</v>
      </c>
      <c r="I248" s="107" t="s">
        <v>31</v>
      </c>
      <c r="J248" s="269" t="s">
        <v>70</v>
      </c>
      <c r="K248" s="269" t="s">
        <v>71</v>
      </c>
      <c r="L248" s="269" t="s">
        <v>72</v>
      </c>
      <c r="M248" s="269" t="s">
        <v>73</v>
      </c>
      <c r="N248" s="272" t="s">
        <v>148</v>
      </c>
      <c r="O248" s="98"/>
      <c r="S248" s="12"/>
      <c r="T248" s="12"/>
      <c r="U248" s="12"/>
      <c r="V248" s="13"/>
    </row>
    <row r="249" spans="2:22" ht="15">
      <c r="B249" s="266"/>
      <c r="C249" s="130" t="s">
        <v>0</v>
      </c>
      <c r="D249" s="131" t="s">
        <v>32</v>
      </c>
      <c r="E249" s="268"/>
      <c r="F249" s="109" t="s">
        <v>32</v>
      </c>
      <c r="G249" s="109" t="s">
        <v>32</v>
      </c>
      <c r="H249" s="109" t="s">
        <v>33</v>
      </c>
      <c r="I249" s="109" t="s">
        <v>34</v>
      </c>
      <c r="J249" s="270"/>
      <c r="K249" s="270"/>
      <c r="L249" s="270"/>
      <c r="M249" s="270"/>
      <c r="N249" s="273"/>
      <c r="O249" s="98"/>
      <c r="S249" s="12"/>
      <c r="T249" s="12"/>
      <c r="U249" s="12"/>
      <c r="V249" s="13"/>
    </row>
    <row r="250" spans="2:22" ht="14.25">
      <c r="B250" s="10">
        <v>1</v>
      </c>
      <c r="C250" s="112" t="s">
        <v>225</v>
      </c>
      <c r="D250" s="133">
        <v>200</v>
      </c>
      <c r="E250" s="105" t="s">
        <v>226</v>
      </c>
      <c r="F250" s="105">
        <v>20</v>
      </c>
      <c r="G250" s="105">
        <v>20</v>
      </c>
      <c r="H250" s="109">
        <f>R38</f>
        <v>58</v>
      </c>
      <c r="I250" s="111">
        <f aca="true" t="shared" si="13" ref="I250:I263">H250*F250/1000</f>
        <v>1.16</v>
      </c>
      <c r="J250" s="111"/>
      <c r="K250" s="111"/>
      <c r="L250" s="111"/>
      <c r="M250" s="111"/>
      <c r="N250" s="156"/>
      <c r="O250" s="98"/>
      <c r="S250" s="12"/>
      <c r="T250" s="12"/>
      <c r="U250" s="12"/>
      <c r="V250" s="13"/>
    </row>
    <row r="251" spans="2:22" ht="14.25">
      <c r="B251" s="10"/>
      <c r="C251" s="112"/>
      <c r="D251" s="133"/>
      <c r="E251" s="105" t="s">
        <v>10</v>
      </c>
      <c r="F251" s="105">
        <v>120</v>
      </c>
      <c r="G251" s="105">
        <v>120</v>
      </c>
      <c r="H251" s="109">
        <f>R10</f>
        <v>72</v>
      </c>
      <c r="I251" s="111">
        <f t="shared" si="13"/>
        <v>8.64</v>
      </c>
      <c r="J251" s="111"/>
      <c r="K251" s="111"/>
      <c r="L251" s="111"/>
      <c r="M251" s="111"/>
      <c r="N251" s="156"/>
      <c r="O251" s="98"/>
      <c r="S251" s="12"/>
      <c r="T251" s="12"/>
      <c r="U251" s="12"/>
      <c r="V251" s="13"/>
    </row>
    <row r="252" spans="2:22" ht="14.25">
      <c r="B252" s="10"/>
      <c r="C252" s="112"/>
      <c r="D252" s="133"/>
      <c r="E252" s="105" t="s">
        <v>2</v>
      </c>
      <c r="F252" s="105">
        <v>4</v>
      </c>
      <c r="G252" s="105">
        <v>4</v>
      </c>
      <c r="H252" s="177">
        <f>R46</f>
        <v>85</v>
      </c>
      <c r="I252" s="111">
        <f t="shared" si="13"/>
        <v>0.34</v>
      </c>
      <c r="J252" s="111"/>
      <c r="K252" s="111"/>
      <c r="L252" s="111"/>
      <c r="M252" s="111"/>
      <c r="N252" s="156"/>
      <c r="O252" s="98"/>
      <c r="S252" s="12"/>
      <c r="T252" s="12"/>
      <c r="U252" s="12"/>
      <c r="V252" s="13"/>
    </row>
    <row r="253" spans="2:22" ht="14.25">
      <c r="B253" s="10"/>
      <c r="C253" s="112"/>
      <c r="D253" s="133"/>
      <c r="E253" s="105" t="s">
        <v>28</v>
      </c>
      <c r="F253" s="105">
        <v>5</v>
      </c>
      <c r="G253" s="105">
        <v>5</v>
      </c>
      <c r="H253" s="177">
        <f>R11</f>
        <v>467</v>
      </c>
      <c r="I253" s="111">
        <f t="shared" si="13"/>
        <v>2.34</v>
      </c>
      <c r="J253" s="192">
        <v>6</v>
      </c>
      <c r="K253" s="192">
        <v>8.2</v>
      </c>
      <c r="L253" s="192">
        <v>29.3</v>
      </c>
      <c r="M253" s="134">
        <v>215</v>
      </c>
      <c r="N253" s="172">
        <v>411</v>
      </c>
      <c r="O253" s="98">
        <f>(J253+L253)*4+K253*9</f>
        <v>215</v>
      </c>
      <c r="S253" s="12"/>
      <c r="T253" s="12"/>
      <c r="U253" s="12"/>
      <c r="V253" s="13"/>
    </row>
    <row r="254" spans="2:22" ht="14.25">
      <c r="B254" s="244">
        <v>2</v>
      </c>
      <c r="C254" s="124" t="s">
        <v>169</v>
      </c>
      <c r="D254" s="120">
        <v>50</v>
      </c>
      <c r="E254" s="120" t="s">
        <v>74</v>
      </c>
      <c r="F254" s="120">
        <v>29</v>
      </c>
      <c r="G254" s="120">
        <v>29</v>
      </c>
      <c r="H254" s="177">
        <f>R36</f>
        <v>40</v>
      </c>
      <c r="I254" s="111">
        <f t="shared" si="13"/>
        <v>1.16</v>
      </c>
      <c r="J254" s="163"/>
      <c r="K254" s="163"/>
      <c r="L254" s="163"/>
      <c r="M254" s="163"/>
      <c r="N254" s="172"/>
      <c r="O254" s="98"/>
      <c r="S254" s="12"/>
      <c r="T254" s="12"/>
      <c r="U254" s="12"/>
      <c r="V254" s="13"/>
    </row>
    <row r="255" spans="2:22" ht="15">
      <c r="B255" s="244"/>
      <c r="C255" s="121"/>
      <c r="D255" s="120"/>
      <c r="E255" s="120" t="s">
        <v>2</v>
      </c>
      <c r="F255" s="120">
        <v>1</v>
      </c>
      <c r="G255" s="120">
        <v>1</v>
      </c>
      <c r="H255" s="177">
        <f>R46</f>
        <v>85</v>
      </c>
      <c r="I255" s="111">
        <f t="shared" si="13"/>
        <v>0.09</v>
      </c>
      <c r="J255" s="163"/>
      <c r="K255" s="163"/>
      <c r="L255" s="163"/>
      <c r="M255" s="163"/>
      <c r="N255" s="172"/>
      <c r="O255" s="98"/>
      <c r="S255" s="12"/>
      <c r="T255" s="12"/>
      <c r="U255" s="12"/>
      <c r="V255" s="13"/>
    </row>
    <row r="256" spans="2:22" ht="15">
      <c r="B256" s="244"/>
      <c r="C256" s="121"/>
      <c r="D256" s="120"/>
      <c r="E256" s="120" t="s">
        <v>28</v>
      </c>
      <c r="F256" s="120">
        <v>3</v>
      </c>
      <c r="G256" s="120">
        <v>3</v>
      </c>
      <c r="H256" s="177">
        <f>R11</f>
        <v>467</v>
      </c>
      <c r="I256" s="111">
        <f t="shared" si="13"/>
        <v>1.4</v>
      </c>
      <c r="J256" s="163"/>
      <c r="K256" s="163"/>
      <c r="L256" s="163"/>
      <c r="M256" s="163"/>
      <c r="N256" s="172"/>
      <c r="O256" s="98"/>
      <c r="S256" s="12"/>
      <c r="T256" s="12"/>
      <c r="U256" s="12"/>
      <c r="V256" s="13"/>
    </row>
    <row r="257" spans="2:22" ht="15">
      <c r="B257" s="244"/>
      <c r="C257" s="121"/>
      <c r="D257" s="120"/>
      <c r="E257" s="120" t="s">
        <v>10</v>
      </c>
      <c r="F257" s="120">
        <v>4</v>
      </c>
      <c r="G257" s="120">
        <v>4</v>
      </c>
      <c r="H257" s="177">
        <f>R10</f>
        <v>72</v>
      </c>
      <c r="I257" s="111">
        <f t="shared" si="13"/>
        <v>0.29</v>
      </c>
      <c r="J257" s="163"/>
      <c r="K257" s="163"/>
      <c r="L257" s="163"/>
      <c r="M257" s="163"/>
      <c r="N257" s="172"/>
      <c r="O257" s="98"/>
      <c r="S257" s="12"/>
      <c r="T257" s="12"/>
      <c r="U257" s="12"/>
      <c r="V257" s="13"/>
    </row>
    <row r="258" spans="2:22" ht="15">
      <c r="B258" s="244"/>
      <c r="C258" s="121"/>
      <c r="D258" s="120"/>
      <c r="E258" s="109" t="s">
        <v>11</v>
      </c>
      <c r="F258" s="120">
        <v>0.12</v>
      </c>
      <c r="G258" s="120">
        <v>0.12</v>
      </c>
      <c r="H258" s="111">
        <f>R5</f>
        <v>13.5</v>
      </c>
      <c r="I258" s="111">
        <f>H258*F258</f>
        <v>1.62</v>
      </c>
      <c r="J258" s="163"/>
      <c r="K258" s="163"/>
      <c r="L258" s="163"/>
      <c r="M258" s="163"/>
      <c r="N258" s="172"/>
      <c r="O258" s="98"/>
      <c r="S258" s="12"/>
      <c r="T258" s="12"/>
      <c r="U258" s="12"/>
      <c r="V258" s="13"/>
    </row>
    <row r="259" spans="2:22" ht="15">
      <c r="B259" s="244"/>
      <c r="C259" s="121"/>
      <c r="D259" s="120"/>
      <c r="E259" s="109" t="s">
        <v>144</v>
      </c>
      <c r="F259" s="120">
        <v>0.5</v>
      </c>
      <c r="G259" s="120">
        <v>0.5</v>
      </c>
      <c r="H259" s="177">
        <f>R49</f>
        <v>377</v>
      </c>
      <c r="I259" s="111">
        <f t="shared" si="13"/>
        <v>0.19</v>
      </c>
      <c r="J259" s="196"/>
      <c r="K259" s="194"/>
      <c r="L259" s="194"/>
      <c r="M259" s="163"/>
      <c r="N259" s="172"/>
      <c r="O259" s="98"/>
      <c r="S259" s="12"/>
      <c r="T259" s="12"/>
      <c r="U259" s="12"/>
      <c r="V259" s="13"/>
    </row>
    <row r="260" spans="2:22" ht="14.25">
      <c r="B260" s="244"/>
      <c r="C260" s="126"/>
      <c r="D260" s="109"/>
      <c r="E260" s="109" t="s">
        <v>2</v>
      </c>
      <c r="F260" s="109">
        <v>0.5</v>
      </c>
      <c r="G260" s="109">
        <v>0.5</v>
      </c>
      <c r="H260" s="177">
        <f>R46</f>
        <v>85</v>
      </c>
      <c r="I260" s="111">
        <f t="shared" si="13"/>
        <v>0.04</v>
      </c>
      <c r="J260" s="196"/>
      <c r="K260" s="194"/>
      <c r="L260" s="194"/>
      <c r="M260" s="163"/>
      <c r="N260" s="172"/>
      <c r="O260" s="98"/>
      <c r="S260" s="12"/>
      <c r="T260" s="12"/>
      <c r="U260" s="12"/>
      <c r="V260" s="13"/>
    </row>
    <row r="261" spans="2:22" ht="14.25">
      <c r="B261" s="244"/>
      <c r="C261" s="109"/>
      <c r="D261" s="109"/>
      <c r="E261" s="109" t="s">
        <v>28</v>
      </c>
      <c r="F261" s="109">
        <v>1</v>
      </c>
      <c r="G261" s="109">
        <v>1</v>
      </c>
      <c r="H261" s="177">
        <f>R11</f>
        <v>467</v>
      </c>
      <c r="I261" s="111">
        <f t="shared" si="13"/>
        <v>0.47</v>
      </c>
      <c r="J261" s="125">
        <v>4.45</v>
      </c>
      <c r="K261" s="125">
        <v>3.15</v>
      </c>
      <c r="L261" s="125">
        <v>25.4</v>
      </c>
      <c r="M261" s="125">
        <v>147.75</v>
      </c>
      <c r="N261" s="156">
        <v>500</v>
      </c>
      <c r="O261" s="98">
        <f>(J261+L261)*4+K261*9</f>
        <v>147.75</v>
      </c>
      <c r="S261" s="12"/>
      <c r="T261" s="12"/>
      <c r="U261" s="12"/>
      <c r="V261" s="13"/>
    </row>
    <row r="262" spans="2:15" ht="14.25">
      <c r="B262" s="3">
        <v>3</v>
      </c>
      <c r="C262" s="112" t="s">
        <v>13</v>
      </c>
      <c r="D262" s="109">
        <v>200</v>
      </c>
      <c r="E262" s="109" t="s">
        <v>14</v>
      </c>
      <c r="F262" s="109">
        <v>0.9</v>
      </c>
      <c r="G262" s="109">
        <v>0.9</v>
      </c>
      <c r="H262" s="109">
        <f>R54</f>
        <v>507</v>
      </c>
      <c r="I262" s="111">
        <f t="shared" si="13"/>
        <v>0.46</v>
      </c>
      <c r="J262" s="111"/>
      <c r="K262" s="111"/>
      <c r="L262" s="111"/>
      <c r="M262" s="111"/>
      <c r="N262" s="156"/>
      <c r="O262" s="98"/>
    </row>
    <row r="263" spans="2:15" ht="14.25">
      <c r="B263" s="3"/>
      <c r="C263" s="112"/>
      <c r="D263" s="109"/>
      <c r="E263" s="109" t="s">
        <v>2</v>
      </c>
      <c r="F263" s="109">
        <v>12</v>
      </c>
      <c r="G263" s="109">
        <v>12</v>
      </c>
      <c r="H263" s="109">
        <f>R46</f>
        <v>85</v>
      </c>
      <c r="I263" s="111">
        <f t="shared" si="13"/>
        <v>1.02</v>
      </c>
      <c r="J263" s="162">
        <v>0.2</v>
      </c>
      <c r="K263" s="162">
        <v>0</v>
      </c>
      <c r="L263" s="162">
        <v>14</v>
      </c>
      <c r="M263" s="162">
        <v>56.8</v>
      </c>
      <c r="N263" s="156">
        <v>376</v>
      </c>
      <c r="O263" s="98">
        <f>(J263+L263)*4+K263*9</f>
        <v>56.8</v>
      </c>
    </row>
    <row r="264" spans="2:15" ht="15">
      <c r="B264" s="3"/>
      <c r="C264" s="109"/>
      <c r="D264" s="200"/>
      <c r="E264" s="109"/>
      <c r="F264" s="109"/>
      <c r="G264" s="109"/>
      <c r="H264" s="120"/>
      <c r="I264" s="115">
        <f>SUM(I250:I263)</f>
        <v>19.22</v>
      </c>
      <c r="J264" s="115">
        <f>SUM(J250:J263)</f>
        <v>10.65</v>
      </c>
      <c r="K264" s="115">
        <f>SUM(K250:K263)</f>
        <v>11.35</v>
      </c>
      <c r="L264" s="115">
        <f>SUM(L250:L263)</f>
        <v>68.7</v>
      </c>
      <c r="M264" s="115">
        <f>SUM(M250:M263)</f>
        <v>419.55</v>
      </c>
      <c r="N264" s="159"/>
      <c r="O264" s="98">
        <f>(J264+L264)*4+K264*9</f>
        <v>419.55</v>
      </c>
    </row>
    <row r="265" spans="2:15" s="45" customFormat="1" ht="15">
      <c r="B265" s="19"/>
      <c r="C265" s="188" t="s">
        <v>5</v>
      </c>
      <c r="D265" s="122"/>
      <c r="E265" s="122"/>
      <c r="F265" s="120"/>
      <c r="G265" s="120"/>
      <c r="H265" s="120"/>
      <c r="I265" s="125"/>
      <c r="J265" s="125"/>
      <c r="K265" s="125"/>
      <c r="L265" s="125"/>
      <c r="M265" s="125"/>
      <c r="N265" s="156"/>
      <c r="O265" s="186"/>
    </row>
    <row r="266" spans="2:15" ht="14.25">
      <c r="B266" s="3">
        <v>1</v>
      </c>
      <c r="C266" s="118" t="s">
        <v>125</v>
      </c>
      <c r="D266" s="109" t="s">
        <v>180</v>
      </c>
      <c r="E266" s="105" t="s">
        <v>7</v>
      </c>
      <c r="F266" s="3">
        <v>85</v>
      </c>
      <c r="G266" s="3">
        <v>60</v>
      </c>
      <c r="H266" s="109">
        <f>R18</f>
        <v>54</v>
      </c>
      <c r="I266" s="111">
        <f aca="true" t="shared" si="14" ref="I266:I272">H266*F266/1000</f>
        <v>4.59</v>
      </c>
      <c r="J266" s="111"/>
      <c r="K266" s="111"/>
      <c r="L266" s="111"/>
      <c r="M266" s="111"/>
      <c r="N266" s="156"/>
      <c r="O266" s="98"/>
    </row>
    <row r="267" spans="2:15" ht="14.25">
      <c r="B267" s="3"/>
      <c r="C267" s="118" t="s">
        <v>179</v>
      </c>
      <c r="D267" s="109"/>
      <c r="E267" s="109" t="s">
        <v>126</v>
      </c>
      <c r="F267" s="3">
        <v>8</v>
      </c>
      <c r="G267" s="3">
        <v>8</v>
      </c>
      <c r="H267" s="109">
        <f>R43</f>
        <v>48</v>
      </c>
      <c r="I267" s="111">
        <f t="shared" si="14"/>
        <v>0.38</v>
      </c>
      <c r="J267" s="111"/>
      <c r="K267" s="111"/>
      <c r="L267" s="111"/>
      <c r="M267" s="111"/>
      <c r="N267" s="156"/>
      <c r="O267" s="98"/>
    </row>
    <row r="268" spans="2:21" ht="14.25">
      <c r="B268" s="3"/>
      <c r="C268" s="118"/>
      <c r="D268" s="109"/>
      <c r="E268" s="109" t="s">
        <v>8</v>
      </c>
      <c r="F268" s="3">
        <v>9</v>
      </c>
      <c r="G268" s="3">
        <v>8</v>
      </c>
      <c r="H268" s="120">
        <f>R21</f>
        <v>60</v>
      </c>
      <c r="I268" s="111">
        <f t="shared" si="14"/>
        <v>0.54</v>
      </c>
      <c r="J268" s="111"/>
      <c r="K268" s="111"/>
      <c r="L268" s="111"/>
      <c r="M268" s="111"/>
      <c r="N268" s="156"/>
      <c r="O268" s="98"/>
      <c r="S268" s="12"/>
      <c r="T268" s="20"/>
      <c r="U268" s="13"/>
    </row>
    <row r="269" spans="2:15" ht="14.25">
      <c r="B269" s="3"/>
      <c r="C269" s="118"/>
      <c r="D269" s="109"/>
      <c r="E269" s="109" t="s">
        <v>6</v>
      </c>
      <c r="F269" s="3">
        <v>9</v>
      </c>
      <c r="G269" s="3">
        <v>8</v>
      </c>
      <c r="H269" s="120">
        <f>R20</f>
        <v>49</v>
      </c>
      <c r="I269" s="111">
        <f t="shared" si="14"/>
        <v>0.44</v>
      </c>
      <c r="J269" s="111"/>
      <c r="K269" s="111"/>
      <c r="L269" s="111"/>
      <c r="M269" s="111"/>
      <c r="N269" s="156"/>
      <c r="O269" s="98"/>
    </row>
    <row r="270" spans="2:15" ht="14.25">
      <c r="B270" s="3"/>
      <c r="C270" s="118"/>
      <c r="D270" s="109"/>
      <c r="E270" s="109" t="s">
        <v>97</v>
      </c>
      <c r="F270" s="3">
        <v>16</v>
      </c>
      <c r="G270" s="3">
        <v>12</v>
      </c>
      <c r="H270" s="120">
        <f>R23</f>
        <v>74</v>
      </c>
      <c r="I270" s="111">
        <f t="shared" si="14"/>
        <v>1.18</v>
      </c>
      <c r="J270" s="111"/>
      <c r="K270" s="111"/>
      <c r="L270" s="111"/>
      <c r="M270" s="111"/>
      <c r="N270" s="156"/>
      <c r="O270" s="98"/>
    </row>
    <row r="271" spans="2:15" ht="14.25">
      <c r="B271" s="3"/>
      <c r="C271" s="118"/>
      <c r="D271" s="109"/>
      <c r="E271" s="109" t="s">
        <v>26</v>
      </c>
      <c r="F271" s="3">
        <v>4</v>
      </c>
      <c r="G271" s="3">
        <v>4</v>
      </c>
      <c r="H271" s="120">
        <f>R33</f>
        <v>145</v>
      </c>
      <c r="I271" s="111">
        <f t="shared" si="14"/>
        <v>0.58</v>
      </c>
      <c r="J271" s="111">
        <v>2.54</v>
      </c>
      <c r="K271" s="111">
        <v>4.35</v>
      </c>
      <c r="L271" s="111">
        <v>17.18</v>
      </c>
      <c r="M271" s="111">
        <v>118.03</v>
      </c>
      <c r="N271" s="152">
        <v>208</v>
      </c>
      <c r="O271" s="98">
        <f>(J271+L271)*4+K271*9</f>
        <v>118.03</v>
      </c>
    </row>
    <row r="272" spans="2:15" ht="14.25">
      <c r="B272" s="3"/>
      <c r="C272" s="118"/>
      <c r="D272" s="109"/>
      <c r="E272" s="105" t="s">
        <v>9</v>
      </c>
      <c r="F272" s="109">
        <v>10</v>
      </c>
      <c r="G272" s="109">
        <v>10</v>
      </c>
      <c r="H272" s="120">
        <f>R12</f>
        <v>199</v>
      </c>
      <c r="I272" s="111">
        <f t="shared" si="14"/>
        <v>1.99</v>
      </c>
      <c r="J272" s="111">
        <v>0.22</v>
      </c>
      <c r="K272" s="111">
        <v>2.82</v>
      </c>
      <c r="L272" s="111">
        <v>0.32</v>
      </c>
      <c r="M272" s="111">
        <v>27.54</v>
      </c>
      <c r="N272" s="152"/>
      <c r="O272" s="98">
        <f>(J272+L272)*4+K272*9</f>
        <v>27.54</v>
      </c>
    </row>
    <row r="273" spans="2:16" ht="15">
      <c r="B273" s="3">
        <v>2</v>
      </c>
      <c r="C273" s="242" t="s">
        <v>227</v>
      </c>
      <c r="D273" s="3">
        <v>130</v>
      </c>
      <c r="E273" s="3" t="s">
        <v>16</v>
      </c>
      <c r="F273" s="3">
        <v>48</v>
      </c>
      <c r="G273" s="3">
        <v>48</v>
      </c>
      <c r="H273" s="109">
        <f>R6</f>
        <v>622</v>
      </c>
      <c r="I273" s="111">
        <f>F273*H273/1000</f>
        <v>29.86</v>
      </c>
      <c r="J273" s="111"/>
      <c r="K273" s="111"/>
      <c r="L273" s="111"/>
      <c r="M273" s="111"/>
      <c r="N273" s="156"/>
      <c r="O273" s="98"/>
      <c r="P273" s="21"/>
    </row>
    <row r="274" spans="2:16" ht="15">
      <c r="B274" s="3"/>
      <c r="C274" s="3"/>
      <c r="D274" s="3"/>
      <c r="E274" s="3" t="s">
        <v>26</v>
      </c>
      <c r="F274" s="3">
        <v>2</v>
      </c>
      <c r="G274" s="3">
        <v>2</v>
      </c>
      <c r="H274" s="109">
        <f>R33</f>
        <v>145</v>
      </c>
      <c r="I274" s="111">
        <f>F274*H274/1000</f>
        <v>0.29</v>
      </c>
      <c r="J274" s="111"/>
      <c r="K274" s="111"/>
      <c r="L274" s="111"/>
      <c r="M274" s="111"/>
      <c r="N274" s="156"/>
      <c r="O274" s="98"/>
      <c r="P274" s="21"/>
    </row>
    <row r="275" spans="2:15" ht="14.25">
      <c r="B275" s="3"/>
      <c r="C275" s="3"/>
      <c r="D275" s="3"/>
      <c r="E275" s="3" t="s">
        <v>22</v>
      </c>
      <c r="F275" s="3">
        <v>38</v>
      </c>
      <c r="G275" s="3">
        <v>38</v>
      </c>
      <c r="H275" s="109">
        <f>R47</f>
        <v>46</v>
      </c>
      <c r="I275" s="111">
        <f>H275*F275/1000</f>
        <v>1.75</v>
      </c>
      <c r="J275" s="111"/>
      <c r="K275" s="111"/>
      <c r="L275" s="111"/>
      <c r="M275" s="111"/>
      <c r="N275" s="156"/>
      <c r="O275" s="98"/>
    </row>
    <row r="276" spans="2:15" ht="14.25">
      <c r="B276" s="3"/>
      <c r="C276" s="3"/>
      <c r="D276" s="3"/>
      <c r="E276" s="3" t="s">
        <v>218</v>
      </c>
      <c r="F276" s="3">
        <v>4</v>
      </c>
      <c r="G276" s="3">
        <v>4</v>
      </c>
      <c r="H276" s="109">
        <f>R56</f>
        <v>48</v>
      </c>
      <c r="I276" s="111">
        <f>H276*F276/1000</f>
        <v>0.19</v>
      </c>
      <c r="J276" s="111"/>
      <c r="K276" s="111"/>
      <c r="L276" s="111"/>
      <c r="M276" s="111"/>
      <c r="N276" s="156"/>
      <c r="O276" s="98"/>
    </row>
    <row r="277" spans="2:15" ht="14.25">
      <c r="B277" s="3"/>
      <c r="C277" s="3"/>
      <c r="D277" s="3"/>
      <c r="E277" s="3" t="s">
        <v>11</v>
      </c>
      <c r="F277" s="3">
        <v>0.1</v>
      </c>
      <c r="G277" s="3">
        <v>0.1</v>
      </c>
      <c r="H277" s="111">
        <f>R5</f>
        <v>13.5</v>
      </c>
      <c r="I277" s="111">
        <f>H277*F277</f>
        <v>1.35</v>
      </c>
      <c r="J277" s="111"/>
      <c r="K277" s="111"/>
      <c r="L277" s="111"/>
      <c r="M277" s="111"/>
      <c r="N277" s="156"/>
      <c r="O277" s="98"/>
    </row>
    <row r="278" spans="2:15" ht="14.25">
      <c r="B278" s="3"/>
      <c r="C278" s="3"/>
      <c r="D278" s="3"/>
      <c r="E278" s="3" t="s">
        <v>6</v>
      </c>
      <c r="F278" s="3">
        <v>10</v>
      </c>
      <c r="G278" s="3">
        <v>8</v>
      </c>
      <c r="H278" s="109">
        <f>R20</f>
        <v>49</v>
      </c>
      <c r="I278" s="111">
        <f>H278*F278/1000</f>
        <v>0.49</v>
      </c>
      <c r="J278" s="163"/>
      <c r="K278" s="163"/>
      <c r="L278" s="163"/>
      <c r="M278" s="163"/>
      <c r="N278" s="152"/>
      <c r="O278" s="98"/>
    </row>
    <row r="279" spans="2:15" ht="14.25">
      <c r="B279" s="3"/>
      <c r="C279" s="226"/>
      <c r="D279" s="3"/>
      <c r="E279" s="3" t="s">
        <v>28</v>
      </c>
      <c r="F279" s="3">
        <v>6</v>
      </c>
      <c r="G279" s="3">
        <v>6</v>
      </c>
      <c r="H279" s="109">
        <f>R11</f>
        <v>467</v>
      </c>
      <c r="I279" s="111">
        <f>H279*F279/1000</f>
        <v>2.8</v>
      </c>
      <c r="J279" s="163">
        <v>12.03</v>
      </c>
      <c r="K279" s="163">
        <v>11.9</v>
      </c>
      <c r="L279" s="163">
        <v>18.85</v>
      </c>
      <c r="M279" s="163">
        <v>230.62</v>
      </c>
      <c r="N279" s="206">
        <v>87</v>
      </c>
      <c r="O279" s="98">
        <f>(J279+L279)*4+K279*9</f>
        <v>230.62</v>
      </c>
    </row>
    <row r="280" spans="2:15" ht="14.25">
      <c r="B280" s="3">
        <v>3</v>
      </c>
      <c r="C280" s="126" t="s">
        <v>35</v>
      </c>
      <c r="D280" s="113">
        <v>40</v>
      </c>
      <c r="E280" s="109" t="s">
        <v>19</v>
      </c>
      <c r="F280" s="109">
        <v>40</v>
      </c>
      <c r="G280" s="109">
        <v>40</v>
      </c>
      <c r="H280" s="120">
        <f>R56</f>
        <v>48</v>
      </c>
      <c r="I280" s="111">
        <f>F280*H280/1000</f>
        <v>1.92</v>
      </c>
      <c r="J280" s="193">
        <v>2.45</v>
      </c>
      <c r="K280" s="193">
        <v>7.62</v>
      </c>
      <c r="L280" s="193">
        <v>14.62</v>
      </c>
      <c r="M280" s="163">
        <v>136.86</v>
      </c>
      <c r="N280" s="156"/>
      <c r="O280" s="98">
        <f>(J280+L280)*4+K280*9</f>
        <v>136.86</v>
      </c>
    </row>
    <row r="281" spans="2:15" ht="14.25">
      <c r="B281" s="3">
        <v>4</v>
      </c>
      <c r="C281" s="112" t="s">
        <v>25</v>
      </c>
      <c r="D281" s="109">
        <v>200</v>
      </c>
      <c r="E281" s="109" t="s">
        <v>20</v>
      </c>
      <c r="F281" s="120">
        <v>13</v>
      </c>
      <c r="G281" s="120">
        <v>13</v>
      </c>
      <c r="H281" s="120">
        <f>R29</f>
        <v>140</v>
      </c>
      <c r="I281" s="111">
        <f>F281*H281/1000</f>
        <v>1.82</v>
      </c>
      <c r="J281" s="111"/>
      <c r="K281" s="111"/>
      <c r="L281" s="111"/>
      <c r="M281" s="111"/>
      <c r="N281" s="156"/>
      <c r="O281" s="98"/>
    </row>
    <row r="282" spans="2:15" ht="14.25">
      <c r="B282" s="3"/>
      <c r="C282" s="112"/>
      <c r="D282" s="109"/>
      <c r="E282" s="109" t="s">
        <v>2</v>
      </c>
      <c r="F282" s="120">
        <v>10</v>
      </c>
      <c r="G282" s="120">
        <v>10</v>
      </c>
      <c r="H282" s="120">
        <f>R46</f>
        <v>85</v>
      </c>
      <c r="I282" s="111">
        <f>F282*H282/1000</f>
        <v>0.85</v>
      </c>
      <c r="J282" s="194">
        <v>0.04</v>
      </c>
      <c r="K282" s="194">
        <v>0</v>
      </c>
      <c r="L282" s="194">
        <v>24.76</v>
      </c>
      <c r="M282" s="163">
        <v>99.2</v>
      </c>
      <c r="N282" s="156">
        <v>349</v>
      </c>
      <c r="O282" s="98">
        <f>(J282+L282)*4+K282*9</f>
        <v>99.2</v>
      </c>
    </row>
    <row r="283" spans="2:15" ht="14.25">
      <c r="B283" s="3"/>
      <c r="C283" s="112"/>
      <c r="D283" s="109"/>
      <c r="E283" s="109" t="s">
        <v>149</v>
      </c>
      <c r="F283" s="109">
        <v>2</v>
      </c>
      <c r="G283" s="109">
        <v>2</v>
      </c>
      <c r="H283" s="109">
        <f>R50</f>
        <v>27</v>
      </c>
      <c r="I283" s="111">
        <f>F283*H283/1000</f>
        <v>0.05</v>
      </c>
      <c r="J283" s="111"/>
      <c r="K283" s="111"/>
      <c r="L283" s="111"/>
      <c r="M283" s="111"/>
      <c r="N283" s="156"/>
      <c r="O283" s="98"/>
    </row>
    <row r="284" spans="2:15" ht="14.25">
      <c r="B284" s="3"/>
      <c r="C284" s="112"/>
      <c r="D284" s="109"/>
      <c r="E284" s="109" t="s">
        <v>93</v>
      </c>
      <c r="F284" s="109">
        <v>0.02</v>
      </c>
      <c r="G284" s="109">
        <v>0.02</v>
      </c>
      <c r="H284" s="109">
        <f>R55</f>
        <v>617</v>
      </c>
      <c r="I284" s="111">
        <f>F284*H284/1000</f>
        <v>0.01</v>
      </c>
      <c r="J284" s="111"/>
      <c r="K284" s="111"/>
      <c r="L284" s="111"/>
      <c r="M284" s="111"/>
      <c r="N284" s="156"/>
      <c r="O284" s="98"/>
    </row>
    <row r="285" spans="2:15" ht="15">
      <c r="B285" s="3"/>
      <c r="C285" s="112"/>
      <c r="D285" s="200"/>
      <c r="E285" s="112"/>
      <c r="F285" s="109"/>
      <c r="G285" s="109"/>
      <c r="H285" s="151"/>
      <c r="I285" s="115">
        <f>SUM(I266:I284)</f>
        <v>51.08</v>
      </c>
      <c r="J285" s="115">
        <f>SUM(J266:J284)</f>
        <v>17.28</v>
      </c>
      <c r="K285" s="115">
        <f>SUM(K266:K284)</f>
        <v>26.69</v>
      </c>
      <c r="L285" s="115">
        <f>SUM(L266:L284)</f>
        <v>75.73</v>
      </c>
      <c r="M285" s="115">
        <f>SUM(M266:M284)</f>
        <v>612.25</v>
      </c>
      <c r="N285" s="159"/>
      <c r="O285" s="98">
        <f>(J285+L285)*4+K285*9</f>
        <v>612.25</v>
      </c>
    </row>
    <row r="286" spans="2:15" s="45" customFormat="1" ht="15">
      <c r="B286" s="19"/>
      <c r="C286" s="121" t="s">
        <v>99</v>
      </c>
      <c r="D286" s="120"/>
      <c r="E286" s="124"/>
      <c r="F286" s="120"/>
      <c r="G286" s="120"/>
      <c r="H286" s="151"/>
      <c r="I286" s="123"/>
      <c r="J286" s="123"/>
      <c r="K286" s="123"/>
      <c r="L286" s="123"/>
      <c r="M286" s="123"/>
      <c r="N286" s="159"/>
      <c r="O286" s="186"/>
    </row>
    <row r="287" spans="2:15" ht="14.25">
      <c r="B287" s="6">
        <v>1</v>
      </c>
      <c r="C287" s="124" t="s">
        <v>167</v>
      </c>
      <c r="D287" s="120">
        <v>100</v>
      </c>
      <c r="E287" s="122" t="s">
        <v>74</v>
      </c>
      <c r="F287" s="120">
        <v>42</v>
      </c>
      <c r="G287" s="120">
        <v>42</v>
      </c>
      <c r="H287" s="120">
        <f>R36</f>
        <v>40</v>
      </c>
      <c r="I287" s="111">
        <f>F287*H287/1000</f>
        <v>1.68</v>
      </c>
      <c r="J287" s="162"/>
      <c r="K287" s="162"/>
      <c r="L287" s="162"/>
      <c r="M287" s="163"/>
      <c r="N287" s="156"/>
      <c r="O287" s="98"/>
    </row>
    <row r="288" spans="2:15" ht="14.25">
      <c r="B288" s="6"/>
      <c r="C288" s="124" t="s">
        <v>168</v>
      </c>
      <c r="D288" s="120"/>
      <c r="E288" s="122" t="s">
        <v>2</v>
      </c>
      <c r="F288" s="120">
        <v>2.5</v>
      </c>
      <c r="G288" s="120">
        <v>2.5</v>
      </c>
      <c r="H288" s="120">
        <f>R46</f>
        <v>85</v>
      </c>
      <c r="I288" s="111">
        <f aca="true" t="shared" si="15" ref="I288:I294">F288*H288/1000</f>
        <v>0.21</v>
      </c>
      <c r="J288" s="162"/>
      <c r="K288" s="162"/>
      <c r="L288" s="162"/>
      <c r="M288" s="163"/>
      <c r="N288" s="156"/>
      <c r="O288" s="98"/>
    </row>
    <row r="289" spans="2:15" ht="14.25">
      <c r="B289" s="6"/>
      <c r="C289" s="124"/>
      <c r="D289" s="120"/>
      <c r="E289" s="122" t="s">
        <v>26</v>
      </c>
      <c r="F289" s="120">
        <v>5</v>
      </c>
      <c r="G289" s="120">
        <v>5</v>
      </c>
      <c r="H289" s="120">
        <f>R33</f>
        <v>145</v>
      </c>
      <c r="I289" s="111">
        <f t="shared" si="15"/>
        <v>0.73</v>
      </c>
      <c r="J289" s="162"/>
      <c r="K289" s="162"/>
      <c r="L289" s="162"/>
      <c r="M289" s="163"/>
      <c r="N289" s="156"/>
      <c r="O289" s="98"/>
    </row>
    <row r="290" spans="2:15" ht="14.25">
      <c r="B290" s="6"/>
      <c r="C290" s="124"/>
      <c r="D290" s="120"/>
      <c r="E290" s="122" t="s">
        <v>11</v>
      </c>
      <c r="F290" s="120">
        <v>0.16</v>
      </c>
      <c r="G290" s="120">
        <v>0.16</v>
      </c>
      <c r="H290" s="125">
        <f>R5</f>
        <v>13.5</v>
      </c>
      <c r="I290" s="111">
        <f>F290*H290</f>
        <v>2.16</v>
      </c>
      <c r="J290" s="162"/>
      <c r="K290" s="162"/>
      <c r="L290" s="162"/>
      <c r="M290" s="163"/>
      <c r="N290" s="156"/>
      <c r="O290" s="98"/>
    </row>
    <row r="291" spans="2:15" ht="14.25">
      <c r="B291" s="6"/>
      <c r="C291" s="109"/>
      <c r="D291" s="109"/>
      <c r="E291" s="109" t="s">
        <v>144</v>
      </c>
      <c r="F291" s="109">
        <v>0.5</v>
      </c>
      <c r="G291" s="109">
        <v>0.5</v>
      </c>
      <c r="H291" s="120">
        <f>R49</f>
        <v>377</v>
      </c>
      <c r="I291" s="111">
        <f t="shared" si="15"/>
        <v>0.19</v>
      </c>
      <c r="J291" s="162"/>
      <c r="K291" s="162"/>
      <c r="L291" s="162"/>
      <c r="M291" s="163"/>
      <c r="N291" s="156"/>
      <c r="O291" s="98"/>
    </row>
    <row r="292" spans="2:15" ht="14.25">
      <c r="B292" s="6"/>
      <c r="C292" s="109"/>
      <c r="D292" s="109"/>
      <c r="E292" s="109" t="s">
        <v>149</v>
      </c>
      <c r="F292" s="109">
        <v>0.5</v>
      </c>
      <c r="G292" s="109">
        <v>0.5</v>
      </c>
      <c r="H292" s="120">
        <f>R50</f>
        <v>27</v>
      </c>
      <c r="I292" s="111">
        <f t="shared" si="15"/>
        <v>0.01</v>
      </c>
      <c r="J292" s="162"/>
      <c r="K292" s="162"/>
      <c r="L292" s="162"/>
      <c r="M292" s="163"/>
      <c r="N292" s="156"/>
      <c r="O292" s="98"/>
    </row>
    <row r="293" spans="2:15" ht="14.25">
      <c r="B293" s="6"/>
      <c r="C293" s="109"/>
      <c r="D293" s="109"/>
      <c r="E293" s="109" t="s">
        <v>7</v>
      </c>
      <c r="F293" s="109">
        <v>47</v>
      </c>
      <c r="G293" s="109">
        <v>38</v>
      </c>
      <c r="H293" s="120">
        <f>R18</f>
        <v>54</v>
      </c>
      <c r="I293" s="111">
        <f t="shared" si="15"/>
        <v>2.54</v>
      </c>
      <c r="J293" s="162"/>
      <c r="K293" s="162"/>
      <c r="L293" s="162"/>
      <c r="M293" s="163"/>
      <c r="N293" s="156"/>
      <c r="O293" s="98"/>
    </row>
    <row r="294" spans="2:15" ht="14.25">
      <c r="B294" s="6"/>
      <c r="C294" s="109"/>
      <c r="D294" s="109"/>
      <c r="E294" s="109" t="s">
        <v>6</v>
      </c>
      <c r="F294" s="109">
        <v>11</v>
      </c>
      <c r="G294" s="109">
        <v>10</v>
      </c>
      <c r="H294" s="120">
        <f>R20</f>
        <v>49</v>
      </c>
      <c r="I294" s="111">
        <f t="shared" si="15"/>
        <v>0.54</v>
      </c>
      <c r="J294" s="125">
        <v>4.61</v>
      </c>
      <c r="K294" s="125">
        <v>8.83</v>
      </c>
      <c r="L294" s="125">
        <v>7.28</v>
      </c>
      <c r="M294" s="125">
        <v>127.03</v>
      </c>
      <c r="N294" s="156">
        <v>1091</v>
      </c>
      <c r="O294" s="98">
        <f>(J294+L294)*4+K294*9</f>
        <v>127.03</v>
      </c>
    </row>
    <row r="295" spans="2:15" ht="14.25">
      <c r="B295" s="6">
        <v>2</v>
      </c>
      <c r="C295" s="166" t="s">
        <v>132</v>
      </c>
      <c r="D295" s="132">
        <v>180</v>
      </c>
      <c r="E295" s="132" t="s">
        <v>133</v>
      </c>
      <c r="F295" s="120">
        <v>180</v>
      </c>
      <c r="G295" s="120">
        <v>180</v>
      </c>
      <c r="H295" s="120">
        <f>R32</f>
        <v>62</v>
      </c>
      <c r="I295" s="111">
        <f>F295*H295/1000</f>
        <v>11.16</v>
      </c>
      <c r="J295" s="125">
        <v>0.93</v>
      </c>
      <c r="K295" s="125">
        <v>0</v>
      </c>
      <c r="L295" s="125">
        <v>21.6</v>
      </c>
      <c r="M295" s="125">
        <v>90.12</v>
      </c>
      <c r="N295" s="152"/>
      <c r="O295" s="98">
        <f>(J295+L295)*4+K295*9</f>
        <v>90.12</v>
      </c>
    </row>
    <row r="296" spans="2:15" ht="15">
      <c r="B296" s="96"/>
      <c r="C296" s="131"/>
      <c r="D296" s="213"/>
      <c r="E296" s="132"/>
      <c r="F296" s="132"/>
      <c r="G296" s="132"/>
      <c r="H296" s="132"/>
      <c r="I296" s="114">
        <f>SUM(I287:I295)</f>
        <v>19.22</v>
      </c>
      <c r="J296" s="114">
        <f>SUM(J287:J295)</f>
        <v>5.54</v>
      </c>
      <c r="K296" s="114">
        <f>SUM(K287:K295)</f>
        <v>8.83</v>
      </c>
      <c r="L296" s="114">
        <f>SUM(L287:L295)</f>
        <v>28.88</v>
      </c>
      <c r="M296" s="114">
        <f>SUM(M287:M295)</f>
        <v>217.15</v>
      </c>
      <c r="N296" s="159"/>
      <c r="O296" s="98">
        <f>(J296+L296)*4+K296*9</f>
        <v>217.15</v>
      </c>
    </row>
    <row r="297" spans="2:15" s="5" customFormat="1" ht="15">
      <c r="B297" s="271" t="s">
        <v>129</v>
      </c>
      <c r="C297" s="271"/>
      <c r="D297" s="271"/>
      <c r="E297" s="271"/>
      <c r="F297" s="271"/>
      <c r="G297" s="271"/>
      <c r="H297" s="271"/>
      <c r="I297" s="271"/>
      <c r="J297" s="115">
        <f>J264+J285+J296</f>
        <v>33.47</v>
      </c>
      <c r="K297" s="115">
        <f>K264+K285+K296</f>
        <v>46.87</v>
      </c>
      <c r="L297" s="115">
        <f>L264+L285+L296</f>
        <v>173.31</v>
      </c>
      <c r="M297" s="115">
        <f>M264+M285+M296</f>
        <v>1248.95</v>
      </c>
      <c r="N297" s="159"/>
      <c r="O297" s="98">
        <f>(J297+L297)*4+K297*9</f>
        <v>1248.95</v>
      </c>
    </row>
    <row r="298" spans="2:15" s="89" customFormat="1" ht="15">
      <c r="B298" s="216"/>
      <c r="C298" s="216"/>
      <c r="D298" s="216"/>
      <c r="E298" s="216"/>
      <c r="F298" s="216"/>
      <c r="G298" s="216"/>
      <c r="H298" s="216"/>
      <c r="I298" s="216"/>
      <c r="J298" s="141"/>
      <c r="K298" s="141"/>
      <c r="L298" s="141"/>
      <c r="M298" s="141"/>
      <c r="N298" s="161"/>
      <c r="O298" s="186"/>
    </row>
    <row r="299" spans="2:15" s="45" customFormat="1" ht="15">
      <c r="B299" s="189"/>
      <c r="C299" s="128" t="s">
        <v>39</v>
      </c>
      <c r="D299" s="190"/>
      <c r="E299" s="191"/>
      <c r="F299" s="101"/>
      <c r="G299" s="101"/>
      <c r="H299" s="101"/>
      <c r="I299" s="101"/>
      <c r="J299" s="101"/>
      <c r="K299" s="101"/>
      <c r="L299" s="101"/>
      <c r="M299" s="101"/>
      <c r="N299" s="171"/>
      <c r="O299" s="186"/>
    </row>
    <row r="300" spans="2:15" ht="28.5">
      <c r="B300" s="265" t="s">
        <v>3</v>
      </c>
      <c r="C300" s="105"/>
      <c r="D300" s="105" t="s">
        <v>4</v>
      </c>
      <c r="E300" s="267" t="s">
        <v>29</v>
      </c>
      <c r="F300" s="107" t="s">
        <v>12</v>
      </c>
      <c r="G300" s="107" t="s">
        <v>58</v>
      </c>
      <c r="H300" s="107" t="s">
        <v>30</v>
      </c>
      <c r="I300" s="107" t="s">
        <v>31</v>
      </c>
      <c r="J300" s="269" t="s">
        <v>70</v>
      </c>
      <c r="K300" s="269" t="s">
        <v>71</v>
      </c>
      <c r="L300" s="269" t="s">
        <v>72</v>
      </c>
      <c r="M300" s="269" t="s">
        <v>73</v>
      </c>
      <c r="N300" s="272" t="s">
        <v>148</v>
      </c>
      <c r="O300" s="98"/>
    </row>
    <row r="301" spans="2:15" ht="15">
      <c r="B301" s="274"/>
      <c r="C301" s="108" t="s">
        <v>0</v>
      </c>
      <c r="D301" s="105" t="s">
        <v>32</v>
      </c>
      <c r="E301" s="268"/>
      <c r="F301" s="109" t="s">
        <v>32</v>
      </c>
      <c r="G301" s="109" t="s">
        <v>32</v>
      </c>
      <c r="H301" s="109" t="s">
        <v>33</v>
      </c>
      <c r="I301" s="109" t="s">
        <v>34</v>
      </c>
      <c r="J301" s="270"/>
      <c r="K301" s="270"/>
      <c r="L301" s="270"/>
      <c r="M301" s="270"/>
      <c r="N301" s="270"/>
      <c r="O301" s="98"/>
    </row>
    <row r="302" spans="2:15" s="45" customFormat="1" ht="14.25">
      <c r="B302" s="19">
        <v>1</v>
      </c>
      <c r="C302" s="112" t="s">
        <v>145</v>
      </c>
      <c r="D302" s="109" t="s">
        <v>208</v>
      </c>
      <c r="E302" s="109" t="s">
        <v>90</v>
      </c>
      <c r="F302" s="109">
        <v>54</v>
      </c>
      <c r="G302" s="136">
        <v>54</v>
      </c>
      <c r="H302" s="120">
        <f>R14</f>
        <v>217</v>
      </c>
      <c r="I302" s="125">
        <f aca="true" t="shared" si="16" ref="I302:I311">H302*F302/1000</f>
        <v>11.72</v>
      </c>
      <c r="J302" s="212"/>
      <c r="K302" s="212"/>
      <c r="L302" s="212"/>
      <c r="M302" s="212"/>
      <c r="N302" s="175"/>
      <c r="O302" s="186"/>
    </row>
    <row r="303" spans="2:15" ht="14.25">
      <c r="B303" s="3"/>
      <c r="C303" s="112" t="s">
        <v>146</v>
      </c>
      <c r="D303" s="109"/>
      <c r="E303" s="109" t="s">
        <v>74</v>
      </c>
      <c r="F303" s="109">
        <v>7</v>
      </c>
      <c r="G303" s="109">
        <v>7</v>
      </c>
      <c r="H303" s="177">
        <f>R36</f>
        <v>40</v>
      </c>
      <c r="I303" s="125">
        <f t="shared" si="16"/>
        <v>0.28</v>
      </c>
      <c r="J303" s="148"/>
      <c r="K303" s="148"/>
      <c r="L303" s="148"/>
      <c r="M303" s="148"/>
      <c r="N303" s="175"/>
      <c r="O303" s="98"/>
    </row>
    <row r="304" spans="2:15" ht="14.25">
      <c r="B304" s="3"/>
      <c r="C304" s="126"/>
      <c r="D304" s="109"/>
      <c r="E304" s="109" t="s">
        <v>11</v>
      </c>
      <c r="F304" s="109">
        <v>0.07</v>
      </c>
      <c r="G304" s="109">
        <v>0.07</v>
      </c>
      <c r="H304" s="111">
        <f>R5</f>
        <v>13.5</v>
      </c>
      <c r="I304" s="125">
        <f>H304*F304</f>
        <v>0.95</v>
      </c>
      <c r="J304" s="111"/>
      <c r="K304" s="111"/>
      <c r="L304" s="111"/>
      <c r="M304" s="111"/>
      <c r="N304" s="156"/>
      <c r="O304" s="98"/>
    </row>
    <row r="305" spans="2:15" ht="14.25">
      <c r="B305" s="3"/>
      <c r="C305" s="126"/>
      <c r="D305" s="109"/>
      <c r="E305" s="109" t="s">
        <v>2</v>
      </c>
      <c r="F305" s="109">
        <v>4</v>
      </c>
      <c r="G305" s="109">
        <v>4</v>
      </c>
      <c r="H305" s="177">
        <f>R46</f>
        <v>85</v>
      </c>
      <c r="I305" s="125">
        <f t="shared" si="16"/>
        <v>0.34</v>
      </c>
      <c r="J305" s="193"/>
      <c r="K305" s="195"/>
      <c r="L305" s="193"/>
      <c r="M305" s="111"/>
      <c r="N305" s="156"/>
      <c r="O305" s="98"/>
    </row>
    <row r="306" spans="2:15" ht="14.25">
      <c r="B306" s="3"/>
      <c r="C306" s="126"/>
      <c r="D306" s="109"/>
      <c r="E306" s="109" t="s">
        <v>28</v>
      </c>
      <c r="F306" s="109">
        <v>3</v>
      </c>
      <c r="G306" s="109">
        <v>3</v>
      </c>
      <c r="H306" s="177">
        <f>R11</f>
        <v>467</v>
      </c>
      <c r="I306" s="125">
        <f t="shared" si="16"/>
        <v>1.4</v>
      </c>
      <c r="J306" s="193"/>
      <c r="K306" s="195"/>
      <c r="L306" s="193"/>
      <c r="M306" s="111"/>
      <c r="N306" s="156"/>
      <c r="O306" s="98"/>
    </row>
    <row r="307" spans="2:15" ht="14.25">
      <c r="B307" s="3"/>
      <c r="C307" s="126"/>
      <c r="D307" s="109"/>
      <c r="E307" s="109" t="s">
        <v>150</v>
      </c>
      <c r="F307" s="109">
        <v>4</v>
      </c>
      <c r="G307" s="109">
        <v>4</v>
      </c>
      <c r="H307" s="177">
        <f>R56</f>
        <v>48</v>
      </c>
      <c r="I307" s="125">
        <f t="shared" si="16"/>
        <v>0.19</v>
      </c>
      <c r="J307" s="125"/>
      <c r="K307" s="125"/>
      <c r="L307" s="125"/>
      <c r="M307" s="125"/>
      <c r="N307" s="156"/>
      <c r="O307" s="98"/>
    </row>
    <row r="308" spans="2:15" ht="14.25">
      <c r="B308" s="3"/>
      <c r="C308" s="126"/>
      <c r="D308" s="109"/>
      <c r="E308" s="109" t="s">
        <v>9</v>
      </c>
      <c r="F308" s="109">
        <v>2.5</v>
      </c>
      <c r="G308" s="109">
        <v>2.5</v>
      </c>
      <c r="H308" s="177">
        <f>R12</f>
        <v>199</v>
      </c>
      <c r="I308" s="125">
        <f t="shared" si="16"/>
        <v>0.5</v>
      </c>
      <c r="J308" s="111">
        <v>9.77</v>
      </c>
      <c r="K308" s="111">
        <v>5.63</v>
      </c>
      <c r="L308" s="111">
        <v>13.49</v>
      </c>
      <c r="M308" s="111">
        <v>143.71</v>
      </c>
      <c r="N308" s="152">
        <v>492</v>
      </c>
      <c r="O308" s="98">
        <f>(J308+L308)*4+K308*9</f>
        <v>143.71</v>
      </c>
    </row>
    <row r="309" spans="2:15" ht="14.25">
      <c r="B309" s="3"/>
      <c r="C309" s="126"/>
      <c r="D309" s="109"/>
      <c r="E309" s="109" t="s">
        <v>96</v>
      </c>
      <c r="F309" s="109">
        <v>10</v>
      </c>
      <c r="G309" s="109">
        <v>10</v>
      </c>
      <c r="H309" s="177">
        <f>R17</f>
        <v>247</v>
      </c>
      <c r="I309" s="125">
        <f t="shared" si="16"/>
        <v>2.47</v>
      </c>
      <c r="J309" s="111">
        <v>1.7</v>
      </c>
      <c r="K309" s="111">
        <v>2.08</v>
      </c>
      <c r="L309" s="111">
        <v>13.38</v>
      </c>
      <c r="M309" s="111">
        <v>79.04</v>
      </c>
      <c r="N309" s="152"/>
      <c r="O309" s="98">
        <f>(J309+L309)*4+K309*9</f>
        <v>79.04</v>
      </c>
    </row>
    <row r="310" spans="2:15" ht="14.25">
      <c r="B310" s="3">
        <v>2</v>
      </c>
      <c r="C310" s="112" t="s">
        <v>13</v>
      </c>
      <c r="D310" s="113">
        <v>200</v>
      </c>
      <c r="E310" s="109" t="s">
        <v>51</v>
      </c>
      <c r="F310" s="109">
        <v>1</v>
      </c>
      <c r="G310" s="109">
        <v>1</v>
      </c>
      <c r="H310" s="177">
        <f>R54</f>
        <v>507</v>
      </c>
      <c r="I310" s="125">
        <f t="shared" si="16"/>
        <v>0.51</v>
      </c>
      <c r="J310" s="125"/>
      <c r="K310" s="125"/>
      <c r="L310" s="125"/>
      <c r="M310" s="125"/>
      <c r="N310" s="156"/>
      <c r="O310" s="98"/>
    </row>
    <row r="311" spans="2:15" ht="14.25">
      <c r="B311" s="3"/>
      <c r="C311" s="226"/>
      <c r="D311" s="227"/>
      <c r="E311" s="6" t="s">
        <v>2</v>
      </c>
      <c r="F311" s="3">
        <v>10</v>
      </c>
      <c r="G311" s="3">
        <v>10</v>
      </c>
      <c r="H311" s="177">
        <f>R46</f>
        <v>85</v>
      </c>
      <c r="I311" s="125">
        <f t="shared" si="16"/>
        <v>0.85</v>
      </c>
      <c r="J311" s="162">
        <v>0.2</v>
      </c>
      <c r="K311" s="162">
        <v>0</v>
      </c>
      <c r="L311" s="162">
        <v>14</v>
      </c>
      <c r="M311" s="162">
        <v>56.8</v>
      </c>
      <c r="N311" s="156">
        <v>376</v>
      </c>
      <c r="O311" s="98">
        <f>(J311+L311)*4+K311*9</f>
        <v>56.8</v>
      </c>
    </row>
    <row r="312" spans="2:15" ht="14.25">
      <c r="B312" s="3"/>
      <c r="C312" s="112"/>
      <c r="D312" s="109"/>
      <c r="E312" s="109" t="s">
        <v>149</v>
      </c>
      <c r="F312" s="109">
        <v>0.5</v>
      </c>
      <c r="G312" s="109">
        <v>0.5</v>
      </c>
      <c r="H312" s="109">
        <f>R50</f>
        <v>27</v>
      </c>
      <c r="I312" s="138">
        <f>H312*F312/1000</f>
        <v>0.01</v>
      </c>
      <c r="J312" s="111"/>
      <c r="K312" s="111"/>
      <c r="L312" s="111"/>
      <c r="M312" s="111"/>
      <c r="N312" s="156"/>
      <c r="O312" s="98"/>
    </row>
    <row r="313" spans="2:15" ht="15">
      <c r="B313" s="3"/>
      <c r="C313" s="109"/>
      <c r="D313" s="200"/>
      <c r="E313" s="109"/>
      <c r="F313" s="109"/>
      <c r="G313" s="109"/>
      <c r="H313" s="120"/>
      <c r="I313" s="115">
        <f>SUM(I302:I312)</f>
        <v>19.22</v>
      </c>
      <c r="J313" s="115">
        <f>SUM(J302:J312)</f>
        <v>11.67</v>
      </c>
      <c r="K313" s="115">
        <f>SUM(K302:K312)</f>
        <v>7.71</v>
      </c>
      <c r="L313" s="115">
        <f>SUM(L302:L312)</f>
        <v>40.87</v>
      </c>
      <c r="M313" s="115">
        <f>SUM(M302:M312)</f>
        <v>279.55</v>
      </c>
      <c r="N313" s="159"/>
      <c r="O313" s="98">
        <f>(J313+L313)*4+K313*9</f>
        <v>279.55</v>
      </c>
    </row>
    <row r="314" spans="2:15" ht="15">
      <c r="B314" s="3"/>
      <c r="C314" s="116" t="s">
        <v>5</v>
      </c>
      <c r="D314" s="105"/>
      <c r="E314" s="105"/>
      <c r="F314" s="109"/>
      <c r="G314" s="109"/>
      <c r="H314" s="109"/>
      <c r="I314" s="111"/>
      <c r="J314" s="111"/>
      <c r="K314" s="111"/>
      <c r="L314" s="111"/>
      <c r="M314" s="111"/>
      <c r="N314" s="156"/>
      <c r="O314" s="98"/>
    </row>
    <row r="315" spans="2:15" ht="14.25">
      <c r="B315" s="3">
        <v>1</v>
      </c>
      <c r="C315" s="118" t="s">
        <v>161</v>
      </c>
      <c r="D315" s="109">
        <v>200</v>
      </c>
      <c r="E315" s="105" t="s">
        <v>7</v>
      </c>
      <c r="F315" s="109">
        <v>63</v>
      </c>
      <c r="G315" s="109">
        <v>56</v>
      </c>
      <c r="H315" s="109">
        <f>R18</f>
        <v>54</v>
      </c>
      <c r="I315" s="111">
        <f aca="true" t="shared" si="17" ref="I315:I324">H315*F315/1000</f>
        <v>3.4</v>
      </c>
      <c r="J315" s="111"/>
      <c r="K315" s="111"/>
      <c r="L315" s="111"/>
      <c r="M315" s="111"/>
      <c r="N315" s="156"/>
      <c r="O315" s="98"/>
    </row>
    <row r="316" spans="2:15" ht="14.25">
      <c r="B316" s="2"/>
      <c r="C316" s="182"/>
      <c r="D316" s="109"/>
      <c r="E316" s="109" t="s">
        <v>162</v>
      </c>
      <c r="F316" s="109">
        <v>8</v>
      </c>
      <c r="G316" s="109">
        <v>8</v>
      </c>
      <c r="H316" s="109">
        <f>R37</f>
        <v>85</v>
      </c>
      <c r="I316" s="111">
        <f t="shared" si="17"/>
        <v>0.68</v>
      </c>
      <c r="J316" s="111"/>
      <c r="K316" s="111"/>
      <c r="L316" s="111"/>
      <c r="M316" s="111"/>
      <c r="N316" s="156"/>
      <c r="O316" s="98"/>
    </row>
    <row r="317" spans="2:15" ht="14.25">
      <c r="B317" s="2"/>
      <c r="C317" s="118"/>
      <c r="D317" s="109"/>
      <c r="E317" s="109" t="s">
        <v>8</v>
      </c>
      <c r="F317" s="109">
        <v>10</v>
      </c>
      <c r="G317" s="109">
        <v>8</v>
      </c>
      <c r="H317" s="109">
        <f>R21</f>
        <v>60</v>
      </c>
      <c r="I317" s="111">
        <f t="shared" si="17"/>
        <v>0.6</v>
      </c>
      <c r="J317" s="111"/>
      <c r="K317" s="111"/>
      <c r="L317" s="111"/>
      <c r="M317" s="111"/>
      <c r="N317" s="156"/>
      <c r="O317" s="98"/>
    </row>
    <row r="318" spans="2:15" ht="14.25">
      <c r="B318" s="2"/>
      <c r="C318" s="118"/>
      <c r="D318" s="109"/>
      <c r="E318" s="109" t="s">
        <v>6</v>
      </c>
      <c r="F318" s="109">
        <v>9</v>
      </c>
      <c r="G318" s="109">
        <v>8</v>
      </c>
      <c r="H318" s="109">
        <f>R20</f>
        <v>49</v>
      </c>
      <c r="I318" s="111">
        <f t="shared" si="17"/>
        <v>0.44</v>
      </c>
      <c r="J318" s="111"/>
      <c r="K318" s="111"/>
      <c r="L318" s="111"/>
      <c r="M318" s="111"/>
      <c r="N318" s="156"/>
      <c r="O318" s="98"/>
    </row>
    <row r="319" spans="2:15" ht="14.25">
      <c r="B319" s="2"/>
      <c r="C319" s="118"/>
      <c r="D319" s="109"/>
      <c r="E319" s="109" t="s">
        <v>26</v>
      </c>
      <c r="F319" s="109">
        <v>4</v>
      </c>
      <c r="G319" s="109">
        <v>4</v>
      </c>
      <c r="H319" s="109">
        <f>R33</f>
        <v>145</v>
      </c>
      <c r="I319" s="111">
        <f t="shared" si="17"/>
        <v>0.58</v>
      </c>
      <c r="J319" s="163">
        <v>2.47</v>
      </c>
      <c r="K319" s="163">
        <v>4.41</v>
      </c>
      <c r="L319" s="163">
        <v>16.44</v>
      </c>
      <c r="M319" s="163">
        <v>115.33</v>
      </c>
      <c r="N319" s="183">
        <v>219</v>
      </c>
      <c r="O319" s="98">
        <f>(J319+L319)*4+K319*9</f>
        <v>115.33</v>
      </c>
    </row>
    <row r="320" spans="2:15" ht="14.25">
      <c r="B320" s="3">
        <v>2</v>
      </c>
      <c r="C320" s="150" t="s">
        <v>83</v>
      </c>
      <c r="D320" s="109">
        <v>190</v>
      </c>
      <c r="E320" s="105" t="s">
        <v>89</v>
      </c>
      <c r="F320" s="170">
        <v>109</v>
      </c>
      <c r="G320" s="170">
        <v>95</v>
      </c>
      <c r="H320" s="152">
        <f>R7</f>
        <v>292</v>
      </c>
      <c r="I320" s="111">
        <f>H320*F320/1000</f>
        <v>31.83</v>
      </c>
      <c r="J320" s="111"/>
      <c r="K320" s="111"/>
      <c r="L320" s="111"/>
      <c r="M320" s="111"/>
      <c r="N320" s="152"/>
      <c r="O320" s="98"/>
    </row>
    <row r="321" spans="2:15" ht="14.25">
      <c r="B321" s="3"/>
      <c r="C321" s="150"/>
      <c r="D321" s="109"/>
      <c r="E321" s="105" t="s">
        <v>26</v>
      </c>
      <c r="F321" s="170">
        <v>8</v>
      </c>
      <c r="G321" s="170">
        <v>8</v>
      </c>
      <c r="H321" s="152">
        <f>R33</f>
        <v>145</v>
      </c>
      <c r="I321" s="111">
        <f>H321*F321/1000</f>
        <v>1.16</v>
      </c>
      <c r="J321" s="111"/>
      <c r="K321" s="111"/>
      <c r="L321" s="111"/>
      <c r="M321" s="111"/>
      <c r="N321" s="152"/>
      <c r="O321" s="98"/>
    </row>
    <row r="322" spans="2:15" ht="14.25">
      <c r="B322" s="3"/>
      <c r="C322" s="150"/>
      <c r="D322" s="109"/>
      <c r="E322" s="105" t="s">
        <v>24</v>
      </c>
      <c r="F322" s="170">
        <v>10</v>
      </c>
      <c r="G322" s="170">
        <v>9</v>
      </c>
      <c r="H322" s="152">
        <f>R20</f>
        <v>49</v>
      </c>
      <c r="I322" s="111">
        <f>H322*F322/1000</f>
        <v>0.49</v>
      </c>
      <c r="J322" s="111"/>
      <c r="K322" s="111"/>
      <c r="L322" s="111"/>
      <c r="M322" s="111"/>
      <c r="N322" s="152"/>
      <c r="O322" s="98"/>
    </row>
    <row r="323" spans="2:15" ht="14.25">
      <c r="B323" s="3"/>
      <c r="C323" s="150"/>
      <c r="D323" s="109"/>
      <c r="E323" s="105" t="s">
        <v>8</v>
      </c>
      <c r="F323" s="170">
        <v>11</v>
      </c>
      <c r="G323" s="170">
        <v>9</v>
      </c>
      <c r="H323" s="109">
        <f>R21</f>
        <v>60</v>
      </c>
      <c r="I323" s="111">
        <f t="shared" si="17"/>
        <v>0.66</v>
      </c>
      <c r="J323" s="111"/>
      <c r="K323" s="111"/>
      <c r="L323" s="111"/>
      <c r="M323" s="111"/>
      <c r="N323" s="152"/>
      <c r="O323" s="98"/>
    </row>
    <row r="324" spans="2:15" ht="14.25">
      <c r="B324" s="3"/>
      <c r="C324" s="150"/>
      <c r="D324" s="109"/>
      <c r="E324" s="105" t="s">
        <v>18</v>
      </c>
      <c r="F324" s="170">
        <v>2</v>
      </c>
      <c r="G324" s="170">
        <v>2</v>
      </c>
      <c r="H324" s="109">
        <f>R26</f>
        <v>142</v>
      </c>
      <c r="I324" s="111">
        <f t="shared" si="17"/>
        <v>0.28</v>
      </c>
      <c r="J324" s="111"/>
      <c r="K324" s="111"/>
      <c r="L324" s="111"/>
      <c r="M324" s="111"/>
      <c r="N324" s="152"/>
      <c r="O324" s="98"/>
    </row>
    <row r="325" spans="2:15" ht="14.25">
      <c r="B325" s="3"/>
      <c r="C325" s="150"/>
      <c r="D325" s="109"/>
      <c r="E325" s="105" t="s">
        <v>1</v>
      </c>
      <c r="F325" s="170">
        <v>47</v>
      </c>
      <c r="G325" s="170">
        <v>47</v>
      </c>
      <c r="H325" s="120">
        <f>R39</f>
        <v>116</v>
      </c>
      <c r="I325" s="111">
        <f>F325*H325/1000</f>
        <v>5.45</v>
      </c>
      <c r="J325" s="162">
        <v>22.61</v>
      </c>
      <c r="K325" s="162">
        <v>28.12</v>
      </c>
      <c r="L325" s="162">
        <v>28.79</v>
      </c>
      <c r="M325" s="162">
        <v>458.68</v>
      </c>
      <c r="N325" s="183">
        <v>705</v>
      </c>
      <c r="O325" s="98">
        <f>(J325+L325)*4+K325*9</f>
        <v>458.68</v>
      </c>
    </row>
    <row r="326" spans="2:22" ht="14.25">
      <c r="B326" s="6">
        <v>3</v>
      </c>
      <c r="C326" s="112" t="s">
        <v>35</v>
      </c>
      <c r="D326" s="109">
        <v>55</v>
      </c>
      <c r="E326" s="109" t="s">
        <v>19</v>
      </c>
      <c r="F326" s="120">
        <v>55</v>
      </c>
      <c r="G326" s="120">
        <v>55</v>
      </c>
      <c r="H326" s="120">
        <f>R56</f>
        <v>48</v>
      </c>
      <c r="I326" s="111">
        <f>H326*F326/1000</f>
        <v>2.64</v>
      </c>
      <c r="J326" s="163">
        <v>3.69</v>
      </c>
      <c r="K326" s="163">
        <v>0.39</v>
      </c>
      <c r="L326" s="163">
        <v>27.67</v>
      </c>
      <c r="M326" s="163">
        <v>128.95</v>
      </c>
      <c r="N326" s="152"/>
      <c r="O326" s="98">
        <f>(J326+L326)*4+K326*9</f>
        <v>128.95</v>
      </c>
      <c r="S326" s="12"/>
      <c r="T326" s="12"/>
      <c r="U326" s="12"/>
      <c r="V326" s="13"/>
    </row>
    <row r="327" spans="2:15" ht="14.25">
      <c r="B327" s="3">
        <v>4</v>
      </c>
      <c r="C327" s="112" t="s">
        <v>25</v>
      </c>
      <c r="D327" s="109">
        <v>200</v>
      </c>
      <c r="E327" s="109" t="s">
        <v>20</v>
      </c>
      <c r="F327" s="120">
        <v>14</v>
      </c>
      <c r="G327" s="120">
        <v>14</v>
      </c>
      <c r="H327" s="109">
        <f>R29</f>
        <v>140</v>
      </c>
      <c r="I327" s="111">
        <f>H327*F327/1000</f>
        <v>1.96</v>
      </c>
      <c r="J327" s="193"/>
      <c r="K327" s="193"/>
      <c r="L327" s="193"/>
      <c r="M327" s="163"/>
      <c r="N327" s="156"/>
      <c r="O327" s="98">
        <f>(J327+L327)*4+K327*9</f>
        <v>0</v>
      </c>
    </row>
    <row r="328" spans="2:15" ht="14.25">
      <c r="B328" s="3"/>
      <c r="C328" s="112"/>
      <c r="D328" s="109"/>
      <c r="E328" s="109" t="s">
        <v>2</v>
      </c>
      <c r="F328" s="120">
        <v>10</v>
      </c>
      <c r="G328" s="120">
        <v>10</v>
      </c>
      <c r="H328" s="109">
        <f>R46</f>
        <v>85</v>
      </c>
      <c r="I328" s="111">
        <f>H328*F328/1000</f>
        <v>0.85</v>
      </c>
      <c r="J328" s="194">
        <v>0.04</v>
      </c>
      <c r="K328" s="194">
        <v>0</v>
      </c>
      <c r="L328" s="194">
        <v>24.76</v>
      </c>
      <c r="M328" s="163">
        <v>99.2</v>
      </c>
      <c r="N328" s="156">
        <v>349</v>
      </c>
      <c r="O328" s="98">
        <f>(J328+L328)*4+K328*9</f>
        <v>99.2</v>
      </c>
    </row>
    <row r="329" spans="2:18" ht="15">
      <c r="B329" s="3"/>
      <c r="C329" s="112"/>
      <c r="D329" s="109"/>
      <c r="E329" s="109" t="s">
        <v>98</v>
      </c>
      <c r="F329" s="109">
        <v>0.0005</v>
      </c>
      <c r="G329" s="109">
        <v>0.0005</v>
      </c>
      <c r="H329" s="109"/>
      <c r="I329" s="111"/>
      <c r="J329" s="111"/>
      <c r="K329" s="111"/>
      <c r="L329" s="111"/>
      <c r="M329" s="111"/>
      <c r="N329" s="156"/>
      <c r="O329" s="98"/>
      <c r="P329" s="15"/>
      <c r="Q329" s="15"/>
      <c r="R329" s="22"/>
    </row>
    <row r="330" spans="2:18" ht="15">
      <c r="B330" s="6"/>
      <c r="C330" s="112"/>
      <c r="D330" s="109"/>
      <c r="E330" s="109" t="s">
        <v>149</v>
      </c>
      <c r="F330" s="109">
        <v>2</v>
      </c>
      <c r="G330" s="109">
        <v>2</v>
      </c>
      <c r="H330" s="109">
        <f>R50</f>
        <v>27</v>
      </c>
      <c r="I330" s="111">
        <f>H330*F330/1000</f>
        <v>0.05</v>
      </c>
      <c r="J330" s="111"/>
      <c r="K330" s="111"/>
      <c r="L330" s="111"/>
      <c r="M330" s="111"/>
      <c r="N330" s="156"/>
      <c r="O330" s="98"/>
      <c r="P330" s="15"/>
      <c r="Q330" s="15"/>
      <c r="R330" s="22"/>
    </row>
    <row r="331" spans="2:18" ht="15">
      <c r="B331" s="6"/>
      <c r="C331" s="112"/>
      <c r="D331" s="109"/>
      <c r="E331" s="109" t="s">
        <v>93</v>
      </c>
      <c r="F331" s="109">
        <v>0.02</v>
      </c>
      <c r="G331" s="109">
        <v>0.02</v>
      </c>
      <c r="H331" s="109">
        <f>R55</f>
        <v>617</v>
      </c>
      <c r="I331" s="111">
        <f>H331*F331/1000</f>
        <v>0.01</v>
      </c>
      <c r="J331" s="111"/>
      <c r="K331" s="111"/>
      <c r="L331" s="111"/>
      <c r="M331" s="111"/>
      <c r="N331" s="156"/>
      <c r="O331" s="98"/>
      <c r="P331" s="15"/>
      <c r="Q331" s="15"/>
      <c r="R331" s="22"/>
    </row>
    <row r="332" spans="2:18" ht="15">
      <c r="B332" s="6"/>
      <c r="C332" s="112"/>
      <c r="D332" s="200"/>
      <c r="E332" s="109"/>
      <c r="F332" s="120"/>
      <c r="G332" s="120"/>
      <c r="H332" s="120"/>
      <c r="I332" s="115">
        <f>SUM(I315:I331)</f>
        <v>51.08</v>
      </c>
      <c r="J332" s="115">
        <f>SUM(J315:J331)</f>
        <v>28.81</v>
      </c>
      <c r="K332" s="115">
        <f>SUM(K315:K331)</f>
        <v>32.92</v>
      </c>
      <c r="L332" s="115">
        <f>SUM(L315:L331)</f>
        <v>97.66</v>
      </c>
      <c r="M332" s="115">
        <f>SUM(M315:M331)</f>
        <v>802.16</v>
      </c>
      <c r="N332" s="159"/>
      <c r="O332" s="98">
        <f>(J332+L332)*4+K332*9</f>
        <v>802.16</v>
      </c>
      <c r="P332" s="15"/>
      <c r="Q332" s="15"/>
      <c r="R332" s="22"/>
    </row>
    <row r="333" spans="2:18" s="45" customFormat="1" ht="15">
      <c r="B333" s="228"/>
      <c r="C333" s="121" t="s">
        <v>99</v>
      </c>
      <c r="D333" s="120"/>
      <c r="E333" s="120"/>
      <c r="F333" s="120"/>
      <c r="G333" s="120"/>
      <c r="H333" s="120"/>
      <c r="I333" s="123"/>
      <c r="J333" s="123"/>
      <c r="K333" s="123"/>
      <c r="L333" s="123"/>
      <c r="M333" s="123"/>
      <c r="N333" s="159"/>
      <c r="O333" s="186"/>
      <c r="P333" s="217"/>
      <c r="Q333" s="217"/>
      <c r="R333" s="218"/>
    </row>
    <row r="334" spans="2:18" s="45" customFormat="1" ht="15">
      <c r="B334" s="228">
        <v>1</v>
      </c>
      <c r="C334" s="124" t="s">
        <v>170</v>
      </c>
      <c r="D334" s="109">
        <v>90</v>
      </c>
      <c r="E334" s="109" t="s">
        <v>74</v>
      </c>
      <c r="F334" s="109">
        <v>41</v>
      </c>
      <c r="G334" s="109">
        <v>41</v>
      </c>
      <c r="H334" s="120">
        <f>R36</f>
        <v>40</v>
      </c>
      <c r="I334" s="125">
        <f>H334*F334/1000</f>
        <v>1.64</v>
      </c>
      <c r="J334" s="162"/>
      <c r="K334" s="162"/>
      <c r="L334" s="162"/>
      <c r="M334" s="162"/>
      <c r="N334" s="156"/>
      <c r="O334" s="186"/>
      <c r="P334" s="217"/>
      <c r="Q334" s="217"/>
      <c r="R334" s="218"/>
    </row>
    <row r="335" spans="2:18" ht="15">
      <c r="B335" s="6"/>
      <c r="C335" s="112" t="s">
        <v>171</v>
      </c>
      <c r="D335" s="109"/>
      <c r="E335" s="109" t="s">
        <v>2</v>
      </c>
      <c r="F335" s="109">
        <v>2</v>
      </c>
      <c r="G335" s="109">
        <v>2</v>
      </c>
      <c r="H335" s="120">
        <f>R46</f>
        <v>85</v>
      </c>
      <c r="I335" s="111">
        <f aca="true" t="shared" si="18" ref="I335:I341">H335*F335/1000</f>
        <v>0.17</v>
      </c>
      <c r="J335" s="162"/>
      <c r="K335" s="162"/>
      <c r="L335" s="162"/>
      <c r="M335" s="163"/>
      <c r="N335" s="156"/>
      <c r="O335" s="98"/>
      <c r="P335" s="15"/>
      <c r="Q335" s="15"/>
      <c r="R335" s="22"/>
    </row>
    <row r="336" spans="2:18" ht="15">
      <c r="B336" s="6"/>
      <c r="C336" s="105"/>
      <c r="D336" s="109"/>
      <c r="E336" s="109" t="s">
        <v>26</v>
      </c>
      <c r="F336" s="109">
        <v>7</v>
      </c>
      <c r="G336" s="109">
        <v>7</v>
      </c>
      <c r="H336" s="120">
        <f>R33</f>
        <v>145</v>
      </c>
      <c r="I336" s="111">
        <f t="shared" si="18"/>
        <v>1.02</v>
      </c>
      <c r="J336" s="162"/>
      <c r="K336" s="162"/>
      <c r="L336" s="162"/>
      <c r="M336" s="163"/>
      <c r="N336" s="156"/>
      <c r="O336" s="98"/>
      <c r="P336" s="15"/>
      <c r="Q336" s="15"/>
      <c r="R336" s="22"/>
    </row>
    <row r="337" spans="2:18" ht="15">
      <c r="B337" s="6"/>
      <c r="C337" s="105"/>
      <c r="D337" s="109"/>
      <c r="E337" s="109" t="s">
        <v>11</v>
      </c>
      <c r="F337" s="109">
        <v>0.2</v>
      </c>
      <c r="G337" s="109">
        <v>0.2</v>
      </c>
      <c r="H337" s="125">
        <f>R5</f>
        <v>13.5</v>
      </c>
      <c r="I337" s="111">
        <f>H337*F337</f>
        <v>2.7</v>
      </c>
      <c r="J337" s="162"/>
      <c r="K337" s="162"/>
      <c r="L337" s="162"/>
      <c r="M337" s="163"/>
      <c r="N337" s="156"/>
      <c r="O337" s="98"/>
      <c r="P337" s="15"/>
      <c r="Q337" s="15"/>
      <c r="R337" s="22"/>
    </row>
    <row r="338" spans="2:18" ht="15">
      <c r="B338" s="6"/>
      <c r="C338" s="105"/>
      <c r="D338" s="109"/>
      <c r="E338" s="109" t="s">
        <v>144</v>
      </c>
      <c r="F338" s="109">
        <v>0.4</v>
      </c>
      <c r="G338" s="109">
        <v>0.4</v>
      </c>
      <c r="H338" s="120">
        <f>R49</f>
        <v>377</v>
      </c>
      <c r="I338" s="111">
        <f t="shared" si="18"/>
        <v>0.15</v>
      </c>
      <c r="J338" s="162"/>
      <c r="K338" s="162"/>
      <c r="L338" s="162"/>
      <c r="M338" s="163"/>
      <c r="N338" s="156"/>
      <c r="O338" s="98"/>
      <c r="P338" s="15"/>
      <c r="Q338" s="15"/>
      <c r="R338" s="22"/>
    </row>
    <row r="339" spans="2:18" ht="15">
      <c r="B339" s="6"/>
      <c r="C339" s="105"/>
      <c r="D339" s="109"/>
      <c r="E339" s="109" t="s">
        <v>122</v>
      </c>
      <c r="F339" s="109">
        <v>0.7</v>
      </c>
      <c r="G339" s="109">
        <v>0.7</v>
      </c>
      <c r="H339" s="125">
        <f>R50</f>
        <v>27</v>
      </c>
      <c r="I339" s="111">
        <f t="shared" si="18"/>
        <v>0.02</v>
      </c>
      <c r="J339" s="162"/>
      <c r="K339" s="162"/>
      <c r="L339" s="162"/>
      <c r="M339" s="163"/>
      <c r="N339" s="156"/>
      <c r="O339" s="98"/>
      <c r="P339" s="15"/>
      <c r="Q339" s="15"/>
      <c r="R339" s="22"/>
    </row>
    <row r="340" spans="2:18" ht="15">
      <c r="B340" s="6"/>
      <c r="C340" s="105"/>
      <c r="D340" s="109"/>
      <c r="E340" s="109" t="s">
        <v>17</v>
      </c>
      <c r="F340" s="109">
        <v>58</v>
      </c>
      <c r="G340" s="109">
        <v>47</v>
      </c>
      <c r="H340" s="120">
        <f>R19</f>
        <v>57</v>
      </c>
      <c r="I340" s="111">
        <f t="shared" si="18"/>
        <v>3.31</v>
      </c>
      <c r="J340" s="162"/>
      <c r="K340" s="162"/>
      <c r="L340" s="162"/>
      <c r="M340" s="163"/>
      <c r="N340" s="156"/>
      <c r="O340" s="98"/>
      <c r="P340" s="15"/>
      <c r="Q340" s="15"/>
      <c r="R340" s="22"/>
    </row>
    <row r="341" spans="2:18" ht="15">
      <c r="B341" s="6"/>
      <c r="C341" s="105"/>
      <c r="D341" s="109"/>
      <c r="E341" s="109" t="s">
        <v>6</v>
      </c>
      <c r="F341" s="109">
        <v>6</v>
      </c>
      <c r="G341" s="109">
        <v>5</v>
      </c>
      <c r="H341" s="120">
        <f>R20</f>
        <v>49</v>
      </c>
      <c r="I341" s="111">
        <f t="shared" si="18"/>
        <v>0.29</v>
      </c>
      <c r="J341" s="125">
        <v>3.74</v>
      </c>
      <c r="K341" s="125">
        <v>7.16</v>
      </c>
      <c r="L341" s="125">
        <v>5.9</v>
      </c>
      <c r="M341" s="125">
        <v>103</v>
      </c>
      <c r="N341" s="156">
        <v>738</v>
      </c>
      <c r="O341" s="98">
        <f>(J341+L341)*4+K341*9</f>
        <v>103</v>
      </c>
      <c r="P341" s="15"/>
      <c r="Q341" s="15"/>
      <c r="R341" s="22"/>
    </row>
    <row r="342" spans="2:18" ht="15">
      <c r="B342" s="6">
        <v>2</v>
      </c>
      <c r="C342" s="166" t="s">
        <v>132</v>
      </c>
      <c r="D342" s="132">
        <v>160</v>
      </c>
      <c r="E342" s="132" t="s">
        <v>133</v>
      </c>
      <c r="F342" s="167">
        <v>160</v>
      </c>
      <c r="G342" s="167">
        <v>160</v>
      </c>
      <c r="H342" s="120">
        <f>R32</f>
        <v>62</v>
      </c>
      <c r="I342" s="111">
        <f>H342*F342/1000</f>
        <v>9.92</v>
      </c>
      <c r="J342" s="125">
        <v>0.83</v>
      </c>
      <c r="K342" s="125">
        <v>0</v>
      </c>
      <c r="L342" s="125">
        <v>19.2</v>
      </c>
      <c r="M342" s="125">
        <v>80.12</v>
      </c>
      <c r="N342" s="159"/>
      <c r="O342" s="98">
        <f>(J342+L342)*4+K342*9</f>
        <v>80.12</v>
      </c>
      <c r="P342" s="15"/>
      <c r="Q342" s="15"/>
      <c r="R342" s="22"/>
    </row>
    <row r="343" spans="2:18" ht="15">
      <c r="B343" s="3"/>
      <c r="C343" s="109"/>
      <c r="D343" s="200"/>
      <c r="E343" s="109"/>
      <c r="F343" s="150"/>
      <c r="G343" s="150"/>
      <c r="H343" s="150"/>
      <c r="I343" s="115">
        <f>SUM(I334:I342)</f>
        <v>19.22</v>
      </c>
      <c r="J343" s="115">
        <f>SUM(J334:J342)</f>
        <v>4.57</v>
      </c>
      <c r="K343" s="115">
        <f>SUM(K334:K342)</f>
        <v>7.16</v>
      </c>
      <c r="L343" s="115">
        <f>SUM(L334:L342)</f>
        <v>25.1</v>
      </c>
      <c r="M343" s="115">
        <f>SUM(M334:M342)</f>
        <v>183.12</v>
      </c>
      <c r="N343" s="159"/>
      <c r="O343" s="98">
        <f>(J343+L343)*4+K343*9</f>
        <v>183.12</v>
      </c>
      <c r="P343" s="15"/>
      <c r="Q343" s="15"/>
      <c r="R343" s="22"/>
    </row>
    <row r="344" spans="2:18" ht="15">
      <c r="B344" s="271" t="s">
        <v>129</v>
      </c>
      <c r="C344" s="271"/>
      <c r="D344" s="271"/>
      <c r="E344" s="271"/>
      <c r="F344" s="271"/>
      <c r="G344" s="271"/>
      <c r="H344" s="271"/>
      <c r="I344" s="271"/>
      <c r="J344" s="115">
        <f>J313+J332+J343</f>
        <v>45.05</v>
      </c>
      <c r="K344" s="115">
        <f>K313+K332+K343</f>
        <v>47.79</v>
      </c>
      <c r="L344" s="115">
        <f>L313+L332+L343</f>
        <v>163.63</v>
      </c>
      <c r="M344" s="115">
        <f>M313+M332+M343</f>
        <v>1264.83</v>
      </c>
      <c r="N344" s="159"/>
      <c r="O344" s="98">
        <f>(J344+L344)*4+K344*9</f>
        <v>1264.83</v>
      </c>
      <c r="P344" s="15"/>
      <c r="Q344" s="15"/>
      <c r="R344" s="22"/>
    </row>
    <row r="345" spans="2:18" ht="15">
      <c r="B345" s="12"/>
      <c r="C345" s="128"/>
      <c r="D345" s="129"/>
      <c r="E345" s="129"/>
      <c r="O345" s="98"/>
      <c r="P345" s="23"/>
      <c r="Q345" s="23"/>
      <c r="R345" s="22"/>
    </row>
    <row r="346" spans="3:18" s="45" customFormat="1" ht="15">
      <c r="C346" s="100" t="s">
        <v>40</v>
      </c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71"/>
      <c r="O346" s="186"/>
      <c r="P346" s="89"/>
      <c r="Q346" s="89"/>
      <c r="R346" s="89"/>
    </row>
    <row r="347" spans="2:18" ht="28.5">
      <c r="B347" s="265" t="s">
        <v>3</v>
      </c>
      <c r="C347" s="105"/>
      <c r="D347" s="105" t="s">
        <v>4</v>
      </c>
      <c r="E347" s="267" t="s">
        <v>29</v>
      </c>
      <c r="F347" s="107" t="s">
        <v>12</v>
      </c>
      <c r="G347" s="107" t="s">
        <v>58</v>
      </c>
      <c r="H347" s="107" t="s">
        <v>30</v>
      </c>
      <c r="I347" s="107" t="s">
        <v>31</v>
      </c>
      <c r="J347" s="269" t="s">
        <v>70</v>
      </c>
      <c r="K347" s="269" t="s">
        <v>71</v>
      </c>
      <c r="L347" s="269" t="s">
        <v>72</v>
      </c>
      <c r="M347" s="269" t="s">
        <v>73</v>
      </c>
      <c r="N347" s="272" t="s">
        <v>148</v>
      </c>
      <c r="O347" s="98"/>
      <c r="P347" s="5"/>
      <c r="Q347" s="5"/>
      <c r="R347" s="5"/>
    </row>
    <row r="348" spans="2:18" ht="15">
      <c r="B348" s="274"/>
      <c r="C348" s="108" t="s">
        <v>0</v>
      </c>
      <c r="D348" s="105" t="s">
        <v>32</v>
      </c>
      <c r="E348" s="268"/>
      <c r="F348" s="109" t="s">
        <v>32</v>
      </c>
      <c r="G348" s="109" t="s">
        <v>32</v>
      </c>
      <c r="H348" s="109" t="s">
        <v>33</v>
      </c>
      <c r="I348" s="109" t="s">
        <v>34</v>
      </c>
      <c r="J348" s="270"/>
      <c r="K348" s="270"/>
      <c r="L348" s="270"/>
      <c r="M348" s="270"/>
      <c r="N348" s="273"/>
      <c r="O348" s="98"/>
      <c r="P348" s="5"/>
      <c r="Q348" s="5"/>
      <c r="R348" s="5"/>
    </row>
    <row r="349" spans="2:18" ht="14.25">
      <c r="B349" s="3">
        <v>1</v>
      </c>
      <c r="C349" s="182" t="s">
        <v>166</v>
      </c>
      <c r="D349" s="109">
        <v>40</v>
      </c>
      <c r="E349" s="109" t="s">
        <v>11</v>
      </c>
      <c r="F349" s="109">
        <v>1</v>
      </c>
      <c r="G349" s="109">
        <v>40</v>
      </c>
      <c r="H349" s="111">
        <f>R5</f>
        <v>13.5</v>
      </c>
      <c r="I349" s="111">
        <f>F349*H349</f>
        <v>13.5</v>
      </c>
      <c r="J349" s="134">
        <v>5.08</v>
      </c>
      <c r="K349" s="134">
        <v>4.6</v>
      </c>
      <c r="L349" s="134">
        <v>0.28</v>
      </c>
      <c r="M349" s="134">
        <v>62.84</v>
      </c>
      <c r="N349" s="178">
        <v>213</v>
      </c>
      <c r="O349" s="98">
        <f>(J349+L349)*4+K349*9</f>
        <v>62.84</v>
      </c>
      <c r="P349" s="5"/>
      <c r="Q349" s="5"/>
      <c r="R349" s="5"/>
    </row>
    <row r="350" spans="2:18" ht="14.25">
      <c r="B350" s="3">
        <v>2</v>
      </c>
      <c r="C350" s="112" t="s">
        <v>139</v>
      </c>
      <c r="D350" s="113">
        <v>25</v>
      </c>
      <c r="E350" s="109" t="s">
        <v>140</v>
      </c>
      <c r="F350" s="109">
        <v>25</v>
      </c>
      <c r="G350" s="109">
        <v>25</v>
      </c>
      <c r="H350" s="109">
        <f>R24</f>
        <v>123</v>
      </c>
      <c r="I350" s="111">
        <f>F350*H350/1000</f>
        <v>3.08</v>
      </c>
      <c r="J350" s="111">
        <v>0.23</v>
      </c>
      <c r="K350" s="111">
        <v>1.18</v>
      </c>
      <c r="L350" s="111">
        <v>1.48</v>
      </c>
      <c r="M350" s="111">
        <v>17.46</v>
      </c>
      <c r="N350" s="156"/>
      <c r="O350" s="98">
        <f>(J350+L350)*4+K350*9</f>
        <v>17.46</v>
      </c>
      <c r="P350" s="5"/>
      <c r="Q350" s="5"/>
      <c r="R350" s="5"/>
    </row>
    <row r="351" spans="2:18" ht="14.25">
      <c r="B351" s="3">
        <v>3</v>
      </c>
      <c r="C351" s="112" t="s">
        <v>35</v>
      </c>
      <c r="D351" s="113">
        <v>30</v>
      </c>
      <c r="E351" s="109" t="s">
        <v>19</v>
      </c>
      <c r="F351" s="109">
        <v>30</v>
      </c>
      <c r="G351" s="109">
        <v>30</v>
      </c>
      <c r="H351" s="109">
        <f>R56</f>
        <v>48</v>
      </c>
      <c r="I351" s="111">
        <f>F351*H351/1000</f>
        <v>1.44</v>
      </c>
      <c r="J351" s="111">
        <v>1.91</v>
      </c>
      <c r="K351" s="111">
        <v>5.95</v>
      </c>
      <c r="L351" s="111">
        <v>11.41</v>
      </c>
      <c r="M351" s="163">
        <v>106.83</v>
      </c>
      <c r="N351" s="172"/>
      <c r="O351" s="98">
        <f>(J351+L351)*4+K351*9</f>
        <v>106.83</v>
      </c>
      <c r="P351" s="5"/>
      <c r="Q351" s="5"/>
      <c r="R351" s="5"/>
    </row>
    <row r="352" spans="2:15" ht="14.25">
      <c r="B352" s="3">
        <v>4</v>
      </c>
      <c r="C352" s="112" t="s">
        <v>13</v>
      </c>
      <c r="D352" s="113">
        <v>200</v>
      </c>
      <c r="E352" s="109" t="s">
        <v>51</v>
      </c>
      <c r="F352" s="109">
        <v>0.7</v>
      </c>
      <c r="G352" s="109">
        <v>0.7</v>
      </c>
      <c r="H352" s="109">
        <f>R54</f>
        <v>507</v>
      </c>
      <c r="I352" s="111">
        <f>F352*H352/1000</f>
        <v>0.35</v>
      </c>
      <c r="J352" s="111"/>
      <c r="K352" s="111"/>
      <c r="L352" s="111"/>
      <c r="M352" s="111"/>
      <c r="N352" s="156"/>
      <c r="O352" s="98"/>
    </row>
    <row r="353" spans="2:15" ht="14.25">
      <c r="B353" s="2"/>
      <c r="C353" s="112"/>
      <c r="D353" s="113"/>
      <c r="E353" s="109" t="s">
        <v>2</v>
      </c>
      <c r="F353" s="109">
        <v>10</v>
      </c>
      <c r="G353" s="109">
        <v>10</v>
      </c>
      <c r="H353" s="109">
        <f>R46</f>
        <v>85</v>
      </c>
      <c r="I353" s="111">
        <f>F353*H353/1000</f>
        <v>0.85</v>
      </c>
      <c r="J353" s="162">
        <v>0.2</v>
      </c>
      <c r="K353" s="162">
        <v>0</v>
      </c>
      <c r="L353" s="162">
        <v>14</v>
      </c>
      <c r="M353" s="162">
        <v>56.8</v>
      </c>
      <c r="N353" s="156">
        <v>376</v>
      </c>
      <c r="O353" s="98">
        <f>(J353+L353)*4+K353*9</f>
        <v>56.8</v>
      </c>
    </row>
    <row r="354" spans="2:15" ht="15">
      <c r="B354" s="2"/>
      <c r="C354" s="150"/>
      <c r="D354" s="200"/>
      <c r="E354" s="109"/>
      <c r="F354" s="109"/>
      <c r="G354" s="109"/>
      <c r="H354" s="120"/>
      <c r="I354" s="115">
        <f>SUM(I349:I353)</f>
        <v>19.22</v>
      </c>
      <c r="J354" s="115">
        <f>SUM(J349:J353)</f>
        <v>7.42</v>
      </c>
      <c r="K354" s="115">
        <f>SUM(K349:K353)</f>
        <v>11.73</v>
      </c>
      <c r="L354" s="115">
        <f>SUM(L349:L353)</f>
        <v>27.17</v>
      </c>
      <c r="M354" s="115">
        <f>SUM(M349:M353)</f>
        <v>243.93</v>
      </c>
      <c r="N354" s="159"/>
      <c r="O354" s="98">
        <f>(J354+L354)*4+K354*9</f>
        <v>243.93</v>
      </c>
    </row>
    <row r="355" spans="2:15" s="45" customFormat="1" ht="15">
      <c r="B355" s="229"/>
      <c r="C355" s="188" t="s">
        <v>5</v>
      </c>
      <c r="D355" s="120"/>
      <c r="E355" s="184"/>
      <c r="F355" s="120"/>
      <c r="G355" s="120"/>
      <c r="H355" s="120"/>
      <c r="I355" s="125"/>
      <c r="J355" s="125"/>
      <c r="K355" s="125"/>
      <c r="L355" s="125"/>
      <c r="M355" s="125"/>
      <c r="N355" s="156"/>
      <c r="O355" s="186"/>
    </row>
    <row r="356" spans="2:15" ht="14.25">
      <c r="B356" s="3">
        <v>1</v>
      </c>
      <c r="C356" s="204" t="s">
        <v>220</v>
      </c>
      <c r="D356" s="201">
        <v>250</v>
      </c>
      <c r="E356" s="3" t="s">
        <v>7</v>
      </c>
      <c r="F356" s="3">
        <v>100</v>
      </c>
      <c r="G356" s="3">
        <v>70</v>
      </c>
      <c r="H356" s="109">
        <f>R18</f>
        <v>54</v>
      </c>
      <c r="I356" s="111">
        <f aca="true" t="shared" si="19" ref="I356:I366">F356*H356/1000</f>
        <v>5.4</v>
      </c>
      <c r="J356" s="111"/>
      <c r="K356" s="111"/>
      <c r="L356" s="111"/>
      <c r="M356" s="111"/>
      <c r="N356" s="156"/>
      <c r="O356" s="98"/>
    </row>
    <row r="357" spans="2:15" ht="14.25">
      <c r="B357" s="19"/>
      <c r="C357" s="228"/>
      <c r="D357" s="201"/>
      <c r="E357" s="19" t="s">
        <v>221</v>
      </c>
      <c r="F357" s="19">
        <v>30</v>
      </c>
      <c r="G357" s="19">
        <v>30</v>
      </c>
      <c r="H357" s="109">
        <f>R59</f>
        <v>185</v>
      </c>
      <c r="I357" s="111">
        <f t="shared" si="19"/>
        <v>5.55</v>
      </c>
      <c r="J357" s="111"/>
      <c r="K357" s="111"/>
      <c r="L357" s="111"/>
      <c r="M357" s="111"/>
      <c r="N357" s="156"/>
      <c r="O357" s="98"/>
    </row>
    <row r="358" spans="2:15" ht="14.25">
      <c r="B358" s="3"/>
      <c r="C358" s="6"/>
      <c r="D358" s="10"/>
      <c r="E358" s="3" t="s">
        <v>6</v>
      </c>
      <c r="F358" s="3">
        <v>2.5</v>
      </c>
      <c r="G358" s="3">
        <v>2</v>
      </c>
      <c r="H358" s="109">
        <f>R20</f>
        <v>49</v>
      </c>
      <c r="I358" s="111">
        <f t="shared" si="19"/>
        <v>0.12</v>
      </c>
      <c r="J358" s="111"/>
      <c r="K358" s="111"/>
      <c r="L358" s="111"/>
      <c r="M358" s="111"/>
      <c r="N358" s="156"/>
      <c r="O358" s="98"/>
    </row>
    <row r="359" spans="2:15" ht="14.25">
      <c r="B359" s="3"/>
      <c r="C359" s="6"/>
      <c r="D359" s="10"/>
      <c r="E359" s="3" t="s">
        <v>8</v>
      </c>
      <c r="F359" s="3">
        <v>20</v>
      </c>
      <c r="G359" s="3">
        <v>16</v>
      </c>
      <c r="H359" s="109">
        <f>R21</f>
        <v>60</v>
      </c>
      <c r="I359" s="111">
        <f t="shared" si="19"/>
        <v>1.2</v>
      </c>
      <c r="J359" s="111"/>
      <c r="K359" s="111"/>
      <c r="L359" s="111"/>
      <c r="M359" s="111"/>
      <c r="N359" s="156"/>
      <c r="O359" s="98"/>
    </row>
    <row r="360" spans="2:15" ht="14.25">
      <c r="B360" s="3"/>
      <c r="C360" s="6"/>
      <c r="D360" s="10"/>
      <c r="E360" s="3" t="s">
        <v>26</v>
      </c>
      <c r="F360" s="3">
        <v>5</v>
      </c>
      <c r="G360" s="3">
        <v>5</v>
      </c>
      <c r="H360" s="109">
        <f>R33</f>
        <v>145</v>
      </c>
      <c r="I360" s="111">
        <f t="shared" si="19"/>
        <v>0.73</v>
      </c>
      <c r="J360" s="163">
        <v>6.23</v>
      </c>
      <c r="K360" s="163">
        <v>0.8</v>
      </c>
      <c r="L360" s="163">
        <v>27.58</v>
      </c>
      <c r="M360" s="163">
        <v>142.44</v>
      </c>
      <c r="N360" s="183">
        <v>39</v>
      </c>
      <c r="O360" s="98">
        <f>(J360+L360)*4+K360*9</f>
        <v>142.44</v>
      </c>
    </row>
    <row r="361" spans="2:15" ht="14.25">
      <c r="B361" s="3">
        <v>2</v>
      </c>
      <c r="C361" s="243" t="s">
        <v>222</v>
      </c>
      <c r="D361" s="9">
        <v>50</v>
      </c>
      <c r="E361" s="9" t="s">
        <v>78</v>
      </c>
      <c r="F361" s="19">
        <v>83</v>
      </c>
      <c r="G361" s="19">
        <v>67</v>
      </c>
      <c r="H361" s="109">
        <f>R34</f>
        <v>210</v>
      </c>
      <c r="I361" s="111">
        <f t="shared" si="19"/>
        <v>17.43</v>
      </c>
      <c r="J361" s="163"/>
      <c r="K361" s="163"/>
      <c r="L361" s="163"/>
      <c r="M361" s="163"/>
      <c r="N361" s="206"/>
      <c r="O361" s="98"/>
    </row>
    <row r="362" spans="2:15" ht="14.25">
      <c r="B362" s="3"/>
      <c r="C362" s="8"/>
      <c r="D362" s="9"/>
      <c r="E362" s="9" t="s">
        <v>74</v>
      </c>
      <c r="F362" s="170">
        <v>6</v>
      </c>
      <c r="G362" s="170">
        <v>6</v>
      </c>
      <c r="H362" s="109">
        <f>R36</f>
        <v>40</v>
      </c>
      <c r="I362" s="111">
        <f t="shared" si="19"/>
        <v>0.24</v>
      </c>
      <c r="J362" s="163"/>
      <c r="K362" s="163"/>
      <c r="L362" s="163"/>
      <c r="M362" s="163"/>
      <c r="N362" s="206"/>
      <c r="O362" s="98"/>
    </row>
    <row r="363" spans="2:15" ht="14.25">
      <c r="B363" s="3"/>
      <c r="C363" s="8"/>
      <c r="D363" s="9"/>
      <c r="E363" s="9" t="s">
        <v>26</v>
      </c>
      <c r="F363" s="170">
        <v>6</v>
      </c>
      <c r="G363" s="170">
        <v>6</v>
      </c>
      <c r="H363" s="109">
        <f>R33</f>
        <v>145</v>
      </c>
      <c r="I363" s="111">
        <f t="shared" si="19"/>
        <v>0.87</v>
      </c>
      <c r="J363" s="163">
        <v>6.81</v>
      </c>
      <c r="K363" s="163">
        <v>3.73</v>
      </c>
      <c r="L363" s="163">
        <v>4.86</v>
      </c>
      <c r="M363" s="163">
        <v>80.25</v>
      </c>
      <c r="N363" s="206">
        <v>519</v>
      </c>
      <c r="O363" s="98">
        <f>(J363+L363)*4+K363*9</f>
        <v>80.25</v>
      </c>
    </row>
    <row r="364" spans="2:15" ht="14.25">
      <c r="B364" s="3">
        <v>3</v>
      </c>
      <c r="C364" s="124" t="s">
        <v>88</v>
      </c>
      <c r="D364" s="113">
        <v>150</v>
      </c>
      <c r="E364" s="109" t="s">
        <v>7</v>
      </c>
      <c r="F364" s="109">
        <v>181</v>
      </c>
      <c r="G364" s="109">
        <v>128</v>
      </c>
      <c r="H364" s="109">
        <f>R18</f>
        <v>54</v>
      </c>
      <c r="I364" s="111">
        <f t="shared" si="19"/>
        <v>9.77</v>
      </c>
      <c r="J364" s="111"/>
      <c r="K364" s="111"/>
      <c r="L364" s="111"/>
      <c r="M364" s="111"/>
      <c r="N364" s="156"/>
      <c r="O364" s="98"/>
    </row>
    <row r="365" spans="2:15" ht="14.25">
      <c r="B365" s="3"/>
      <c r="C365" s="184"/>
      <c r="D365" s="109"/>
      <c r="E365" s="105" t="s">
        <v>10</v>
      </c>
      <c r="F365" s="109">
        <v>25</v>
      </c>
      <c r="G365" s="109">
        <v>25</v>
      </c>
      <c r="H365" s="120">
        <f>R10</f>
        <v>72</v>
      </c>
      <c r="I365" s="111">
        <f t="shared" si="19"/>
        <v>1.8</v>
      </c>
      <c r="J365" s="111"/>
      <c r="K365" s="111"/>
      <c r="L365" s="111"/>
      <c r="M365" s="111"/>
      <c r="N365" s="156"/>
      <c r="O365" s="98"/>
    </row>
    <row r="366" spans="2:15" ht="15">
      <c r="B366" s="3"/>
      <c r="C366" s="150"/>
      <c r="D366" s="109"/>
      <c r="E366" s="105" t="s">
        <v>28</v>
      </c>
      <c r="F366" s="109">
        <v>5</v>
      </c>
      <c r="G366" s="109">
        <v>5</v>
      </c>
      <c r="H366" s="120">
        <f>R11</f>
        <v>467</v>
      </c>
      <c r="I366" s="111">
        <f t="shared" si="19"/>
        <v>2.34</v>
      </c>
      <c r="J366" s="198">
        <v>3.4</v>
      </c>
      <c r="K366" s="198">
        <v>6.06</v>
      </c>
      <c r="L366" s="198">
        <v>20.52</v>
      </c>
      <c r="M366" s="169">
        <v>150.22</v>
      </c>
      <c r="N366" s="156">
        <v>321</v>
      </c>
      <c r="O366" s="98">
        <f>(J366+L366)*4+K366*9</f>
        <v>150.22</v>
      </c>
    </row>
    <row r="367" spans="2:15" ht="14.25">
      <c r="B367" s="3">
        <v>4</v>
      </c>
      <c r="C367" s="126" t="s">
        <v>35</v>
      </c>
      <c r="D367" s="109">
        <v>50</v>
      </c>
      <c r="E367" s="109" t="s">
        <v>19</v>
      </c>
      <c r="F367" s="120">
        <v>50</v>
      </c>
      <c r="G367" s="120">
        <v>50</v>
      </c>
      <c r="H367" s="120">
        <f>R56</f>
        <v>48</v>
      </c>
      <c r="I367" s="111">
        <f>H367*F367/1000</f>
        <v>2.4</v>
      </c>
      <c r="J367" s="163">
        <v>3.06</v>
      </c>
      <c r="K367" s="163">
        <v>9.54</v>
      </c>
      <c r="L367" s="163">
        <v>18.28</v>
      </c>
      <c r="M367" s="163">
        <v>171.22</v>
      </c>
      <c r="N367" s="156">
        <v>1</v>
      </c>
      <c r="O367" s="98">
        <f>(J367+L367)*4+K367*9</f>
        <v>171.22</v>
      </c>
    </row>
    <row r="368" spans="2:15" ht="14.25">
      <c r="B368" s="3">
        <v>5</v>
      </c>
      <c r="C368" s="226" t="s">
        <v>25</v>
      </c>
      <c r="D368" s="3">
        <v>200</v>
      </c>
      <c r="E368" s="3" t="s">
        <v>20</v>
      </c>
      <c r="F368" s="3">
        <v>14</v>
      </c>
      <c r="G368" s="3">
        <v>14</v>
      </c>
      <c r="H368" s="120">
        <f>R29</f>
        <v>140</v>
      </c>
      <c r="I368" s="111">
        <f>F368*H368/1000</f>
        <v>1.96</v>
      </c>
      <c r="J368" s="111"/>
      <c r="K368" s="111"/>
      <c r="L368" s="111"/>
      <c r="M368" s="111"/>
      <c r="N368" s="156"/>
      <c r="O368" s="98"/>
    </row>
    <row r="369" spans="2:15" ht="14.25">
      <c r="B369" s="3"/>
      <c r="C369" s="3"/>
      <c r="D369" s="3"/>
      <c r="E369" s="3" t="s">
        <v>2</v>
      </c>
      <c r="F369" s="3">
        <v>14</v>
      </c>
      <c r="G369" s="3">
        <v>14</v>
      </c>
      <c r="H369" s="120">
        <f>R46</f>
        <v>85</v>
      </c>
      <c r="I369" s="111">
        <f>F369*H369/1000</f>
        <v>1.19</v>
      </c>
      <c r="J369" s="194">
        <v>0.04</v>
      </c>
      <c r="K369" s="194">
        <v>0</v>
      </c>
      <c r="L369" s="194">
        <v>24.76</v>
      </c>
      <c r="M369" s="195">
        <f>(J369+L369)*4+K369*9</f>
        <v>99.2</v>
      </c>
      <c r="N369" s="211">
        <v>349</v>
      </c>
      <c r="O369" s="98">
        <f>(J369+L369)*4+K369*9</f>
        <v>99.2</v>
      </c>
    </row>
    <row r="370" spans="2:15" ht="14.25">
      <c r="B370" s="3"/>
      <c r="C370" s="112"/>
      <c r="D370" s="109"/>
      <c r="E370" s="109" t="s">
        <v>98</v>
      </c>
      <c r="F370" s="109">
        <v>0.0005</v>
      </c>
      <c r="G370" s="109">
        <v>0.0005</v>
      </c>
      <c r="H370" s="120"/>
      <c r="I370" s="111"/>
      <c r="J370" s="111"/>
      <c r="K370" s="111"/>
      <c r="L370" s="111"/>
      <c r="M370" s="111"/>
      <c r="N370" s="156"/>
      <c r="O370" s="98"/>
    </row>
    <row r="371" spans="2:15" ht="14.25">
      <c r="B371" s="3"/>
      <c r="C371" s="126"/>
      <c r="D371" s="109"/>
      <c r="E371" s="109" t="s">
        <v>149</v>
      </c>
      <c r="F371" s="109">
        <v>2.5</v>
      </c>
      <c r="G371" s="109">
        <v>2.5</v>
      </c>
      <c r="H371" s="109">
        <f>R50</f>
        <v>27</v>
      </c>
      <c r="I371" s="111">
        <f>F371*H371/1000</f>
        <v>0.07</v>
      </c>
      <c r="J371" s="111"/>
      <c r="K371" s="111"/>
      <c r="L371" s="111"/>
      <c r="M371" s="111"/>
      <c r="N371" s="156"/>
      <c r="O371" s="98"/>
    </row>
    <row r="372" spans="2:15" ht="14.25">
      <c r="B372" s="3"/>
      <c r="C372" s="126"/>
      <c r="D372" s="109"/>
      <c r="E372" s="109" t="s">
        <v>93</v>
      </c>
      <c r="F372" s="109">
        <v>0.02</v>
      </c>
      <c r="G372" s="109">
        <v>0.02</v>
      </c>
      <c r="H372" s="109">
        <f>R55</f>
        <v>617</v>
      </c>
      <c r="I372" s="111">
        <f>F372*H372/1000</f>
        <v>0.01</v>
      </c>
      <c r="J372" s="111"/>
      <c r="K372" s="111"/>
      <c r="L372" s="111"/>
      <c r="M372" s="111"/>
      <c r="N372" s="156"/>
      <c r="O372" s="98"/>
    </row>
    <row r="373" spans="2:15" ht="15">
      <c r="B373" s="3"/>
      <c r="C373" s="126"/>
      <c r="D373" s="200"/>
      <c r="E373" s="109"/>
      <c r="F373" s="120"/>
      <c r="G373" s="120"/>
      <c r="H373" s="120"/>
      <c r="I373" s="115">
        <f>SUM(I356:I372)</f>
        <v>51.08</v>
      </c>
      <c r="J373" s="115">
        <f>SUM(J356:J372)</f>
        <v>19.54</v>
      </c>
      <c r="K373" s="115">
        <f>SUM(K356:K372)</f>
        <v>20.13</v>
      </c>
      <c r="L373" s="115">
        <f>SUM(L356:L372)</f>
        <v>96</v>
      </c>
      <c r="M373" s="115">
        <f>SUM(M356:M372)</f>
        <v>643.33</v>
      </c>
      <c r="N373" s="159"/>
      <c r="O373" s="98">
        <f>(J373+L373)*4+K373*9</f>
        <v>643.33</v>
      </c>
    </row>
    <row r="374" spans="2:15" s="45" customFormat="1" ht="15">
      <c r="B374" s="19"/>
      <c r="C374" s="188" t="s">
        <v>99</v>
      </c>
      <c r="D374" s="120"/>
      <c r="E374" s="120"/>
      <c r="F374" s="120"/>
      <c r="G374" s="120"/>
      <c r="H374" s="120"/>
      <c r="I374" s="123"/>
      <c r="J374" s="123"/>
      <c r="K374" s="123"/>
      <c r="L374" s="123"/>
      <c r="M374" s="123"/>
      <c r="N374" s="159"/>
      <c r="O374" s="186"/>
    </row>
    <row r="375" spans="2:15" ht="14.25">
      <c r="B375" s="6">
        <v>1</v>
      </c>
      <c r="C375" s="124" t="s">
        <v>176</v>
      </c>
      <c r="D375" s="109">
        <v>100</v>
      </c>
      <c r="E375" s="109" t="s">
        <v>74</v>
      </c>
      <c r="F375" s="120">
        <v>59.5</v>
      </c>
      <c r="G375" s="120">
        <v>59.5</v>
      </c>
      <c r="H375" s="120">
        <f>R36</f>
        <v>40</v>
      </c>
      <c r="I375" s="111">
        <f>H375*F375/1000</f>
        <v>2.38</v>
      </c>
      <c r="J375" s="162"/>
      <c r="K375" s="162"/>
      <c r="L375" s="162"/>
      <c r="M375" s="163"/>
      <c r="N375" s="156"/>
      <c r="O375" s="98"/>
    </row>
    <row r="376" spans="2:15" ht="14.25">
      <c r="B376" s="6"/>
      <c r="C376" s="124"/>
      <c r="D376" s="109"/>
      <c r="E376" s="109" t="s">
        <v>2</v>
      </c>
      <c r="F376" s="120">
        <v>4</v>
      </c>
      <c r="G376" s="120">
        <v>4</v>
      </c>
      <c r="H376" s="120">
        <f>R46</f>
        <v>85</v>
      </c>
      <c r="I376" s="111">
        <f>H376*F376/1000</f>
        <v>0.34</v>
      </c>
      <c r="J376" s="162"/>
      <c r="K376" s="162"/>
      <c r="L376" s="162"/>
      <c r="M376" s="163"/>
      <c r="N376" s="156"/>
      <c r="O376" s="98"/>
    </row>
    <row r="377" spans="2:15" ht="14.25">
      <c r="B377" s="6"/>
      <c r="C377" s="124"/>
      <c r="D377" s="109"/>
      <c r="E377" s="109" t="s">
        <v>11</v>
      </c>
      <c r="F377" s="120">
        <v>0.2</v>
      </c>
      <c r="G377" s="120">
        <v>0.2</v>
      </c>
      <c r="H377" s="125">
        <f>R5</f>
        <v>13.5</v>
      </c>
      <c r="I377" s="111">
        <f>H377*F377</f>
        <v>2.7</v>
      </c>
      <c r="J377" s="162"/>
      <c r="K377" s="162"/>
      <c r="L377" s="162"/>
      <c r="M377" s="163"/>
      <c r="N377" s="156"/>
      <c r="O377" s="98"/>
    </row>
    <row r="378" spans="2:15" ht="14.25">
      <c r="B378" s="6"/>
      <c r="C378" s="124"/>
      <c r="D378" s="109"/>
      <c r="E378" s="109" t="s">
        <v>158</v>
      </c>
      <c r="F378" s="120">
        <v>0.8</v>
      </c>
      <c r="G378" s="120">
        <v>0.8</v>
      </c>
      <c r="H378" s="120">
        <f>R49</f>
        <v>377</v>
      </c>
      <c r="I378" s="111">
        <f>H378*F378/1000</f>
        <v>0.3</v>
      </c>
      <c r="J378" s="162"/>
      <c r="K378" s="162"/>
      <c r="L378" s="162"/>
      <c r="M378" s="163"/>
      <c r="N378" s="156"/>
      <c r="O378" s="98"/>
    </row>
    <row r="379" spans="2:15" ht="14.25">
      <c r="B379" s="6"/>
      <c r="C379" s="124"/>
      <c r="D379" s="109"/>
      <c r="E379" s="109" t="s">
        <v>177</v>
      </c>
      <c r="F379" s="120">
        <v>8</v>
      </c>
      <c r="G379" s="120">
        <v>8</v>
      </c>
      <c r="H379" s="120">
        <f>R30</f>
        <v>293</v>
      </c>
      <c r="I379" s="111">
        <f>H379*F379/1000</f>
        <v>2.34</v>
      </c>
      <c r="J379" s="162"/>
      <c r="K379" s="162"/>
      <c r="L379" s="162"/>
      <c r="M379" s="163"/>
      <c r="N379" s="156"/>
      <c r="O379" s="98"/>
    </row>
    <row r="380" spans="2:15" ht="14.25">
      <c r="B380" s="6"/>
      <c r="C380" s="124"/>
      <c r="D380" s="109"/>
      <c r="E380" s="109" t="s">
        <v>28</v>
      </c>
      <c r="F380" s="120">
        <v>2</v>
      </c>
      <c r="G380" s="120">
        <v>2</v>
      </c>
      <c r="H380" s="120">
        <f>R11</f>
        <v>467</v>
      </c>
      <c r="I380" s="111">
        <f>H380*F380/1000</f>
        <v>0.93</v>
      </c>
      <c r="J380" s="169">
        <v>8.4</v>
      </c>
      <c r="K380" s="169">
        <v>5.5</v>
      </c>
      <c r="L380" s="169">
        <v>49.5</v>
      </c>
      <c r="M380" s="163">
        <v>281.1</v>
      </c>
      <c r="N380" s="152">
        <v>501</v>
      </c>
      <c r="O380" s="98">
        <f>(J380+L380)*4+K380*9</f>
        <v>281.1</v>
      </c>
    </row>
    <row r="381" spans="2:15" ht="14.25">
      <c r="B381" s="6">
        <v>2</v>
      </c>
      <c r="C381" s="166" t="s">
        <v>132</v>
      </c>
      <c r="D381" s="132">
        <v>165</v>
      </c>
      <c r="E381" s="132" t="s">
        <v>133</v>
      </c>
      <c r="F381" s="167">
        <v>165</v>
      </c>
      <c r="G381" s="167">
        <v>165</v>
      </c>
      <c r="H381" s="120">
        <f>R32</f>
        <v>62</v>
      </c>
      <c r="I381" s="111">
        <f>H381*F381/1000</f>
        <v>10.23</v>
      </c>
      <c r="J381" s="125">
        <v>0.85</v>
      </c>
      <c r="K381" s="125">
        <v>0</v>
      </c>
      <c r="L381" s="125">
        <v>19.8</v>
      </c>
      <c r="M381" s="125">
        <v>82.6</v>
      </c>
      <c r="N381" s="152"/>
      <c r="O381" s="98">
        <f>(J381+L381)*4+K381*9</f>
        <v>82.6</v>
      </c>
    </row>
    <row r="382" spans="2:15" ht="15">
      <c r="B382" s="6"/>
      <c r="C382" s="112"/>
      <c r="D382" s="200"/>
      <c r="E382" s="109"/>
      <c r="F382" s="120"/>
      <c r="G382" s="120"/>
      <c r="H382" s="120"/>
      <c r="I382" s="115">
        <f>SUM(I375:I381)</f>
        <v>19.22</v>
      </c>
      <c r="J382" s="115">
        <f>SUM(J375:J381)</f>
        <v>9.25</v>
      </c>
      <c r="K382" s="115">
        <f>SUM(K375:K381)</f>
        <v>5.5</v>
      </c>
      <c r="L382" s="115">
        <f>SUM(L375:L381)</f>
        <v>69.3</v>
      </c>
      <c r="M382" s="115">
        <f>SUM(M375:M381)</f>
        <v>363.7</v>
      </c>
      <c r="N382" s="159"/>
      <c r="O382" s="98">
        <f>(J382+L382)*4+K382*9</f>
        <v>363.7</v>
      </c>
    </row>
    <row r="383" spans="2:15" ht="15">
      <c r="B383" s="271" t="s">
        <v>129</v>
      </c>
      <c r="C383" s="271"/>
      <c r="D383" s="271"/>
      <c r="E383" s="271"/>
      <c r="F383" s="271"/>
      <c r="G383" s="271"/>
      <c r="H383" s="271"/>
      <c r="I383" s="271"/>
      <c r="J383" s="115">
        <f>J354+J373+J382</f>
        <v>36.21</v>
      </c>
      <c r="K383" s="115">
        <f>K354+K373+K382</f>
        <v>37.36</v>
      </c>
      <c r="L383" s="115">
        <f>L354+L373+L382</f>
        <v>192.47</v>
      </c>
      <c r="M383" s="115">
        <f>M354+M373+M382</f>
        <v>1250.96</v>
      </c>
      <c r="N383" s="159"/>
      <c r="O383" s="98">
        <f>(J383+L383)*4+K383*9</f>
        <v>1250.96</v>
      </c>
    </row>
    <row r="384" spans="2:15" ht="15">
      <c r="B384" s="12"/>
      <c r="C384" s="128"/>
      <c r="D384" s="129"/>
      <c r="E384" s="129"/>
      <c r="O384" s="98"/>
    </row>
    <row r="385" spans="2:15" s="45" customFormat="1" ht="15">
      <c r="B385" s="20"/>
      <c r="C385" s="128" t="s">
        <v>41</v>
      </c>
      <c r="D385" s="191"/>
      <c r="E385" s="191"/>
      <c r="F385" s="101"/>
      <c r="G385" s="101"/>
      <c r="H385" s="101"/>
      <c r="I385" s="101"/>
      <c r="J385" s="101"/>
      <c r="K385" s="101"/>
      <c r="L385" s="101"/>
      <c r="M385" s="101"/>
      <c r="N385" s="171"/>
      <c r="O385" s="186"/>
    </row>
    <row r="386" spans="2:15" ht="28.5">
      <c r="B386" s="265" t="s">
        <v>3</v>
      </c>
      <c r="C386" s="105"/>
      <c r="D386" s="105" t="s">
        <v>4</v>
      </c>
      <c r="E386" s="267" t="s">
        <v>29</v>
      </c>
      <c r="F386" s="107" t="s">
        <v>12</v>
      </c>
      <c r="G386" s="107" t="s">
        <v>58</v>
      </c>
      <c r="H386" s="107" t="s">
        <v>30</v>
      </c>
      <c r="I386" s="107" t="s">
        <v>31</v>
      </c>
      <c r="J386" s="269" t="s">
        <v>70</v>
      </c>
      <c r="K386" s="269" t="s">
        <v>71</v>
      </c>
      <c r="L386" s="269" t="s">
        <v>72</v>
      </c>
      <c r="M386" s="269" t="s">
        <v>73</v>
      </c>
      <c r="N386" s="272" t="s">
        <v>148</v>
      </c>
      <c r="O386" s="98"/>
    </row>
    <row r="387" spans="2:15" s="45" customFormat="1" ht="15">
      <c r="B387" s="274"/>
      <c r="C387" s="121" t="s">
        <v>0</v>
      </c>
      <c r="D387" s="179" t="s">
        <v>32</v>
      </c>
      <c r="E387" s="268"/>
      <c r="F387" s="120" t="s">
        <v>32</v>
      </c>
      <c r="G387" s="180" t="s">
        <v>32</v>
      </c>
      <c r="H387" s="120" t="s">
        <v>33</v>
      </c>
      <c r="I387" s="120" t="s">
        <v>34</v>
      </c>
      <c r="J387" s="270"/>
      <c r="K387" s="270"/>
      <c r="L387" s="270"/>
      <c r="M387" s="270"/>
      <c r="N387" s="273"/>
      <c r="O387" s="186"/>
    </row>
    <row r="388" spans="2:15" ht="14.25">
      <c r="B388" s="6">
        <v>1</v>
      </c>
      <c r="C388" s="8" t="s">
        <v>231</v>
      </c>
      <c r="D388" s="9">
        <v>200</v>
      </c>
      <c r="E388" s="9" t="s">
        <v>22</v>
      </c>
      <c r="F388" s="110">
        <v>64</v>
      </c>
      <c r="G388" s="110">
        <v>64</v>
      </c>
      <c r="H388" s="120">
        <f>R47</f>
        <v>46</v>
      </c>
      <c r="I388" s="138">
        <f aca="true" t="shared" si="20" ref="I388:I395">F388*H388/1000</f>
        <v>2.94</v>
      </c>
      <c r="J388" s="111"/>
      <c r="K388" s="111"/>
      <c r="L388" s="111"/>
      <c r="M388" s="111"/>
      <c r="N388" s="156"/>
      <c r="O388" s="98"/>
    </row>
    <row r="389" spans="2:15" ht="14.25">
      <c r="B389" s="6"/>
      <c r="C389" s="8"/>
      <c r="D389" s="249"/>
      <c r="E389" s="9" t="s">
        <v>28</v>
      </c>
      <c r="F389" s="110">
        <v>6</v>
      </c>
      <c r="G389" s="110">
        <v>6</v>
      </c>
      <c r="H389" s="120">
        <f>R11</f>
        <v>467</v>
      </c>
      <c r="I389" s="138">
        <f t="shared" si="20"/>
        <v>2.8</v>
      </c>
      <c r="J389" s="111"/>
      <c r="K389" s="111"/>
      <c r="L389" s="111"/>
      <c r="M389" s="111"/>
      <c r="N389" s="156"/>
      <c r="O389" s="98"/>
    </row>
    <row r="390" spans="2:15" ht="14.25">
      <c r="B390" s="3"/>
      <c r="C390" s="8"/>
      <c r="D390" s="9"/>
      <c r="E390" s="9" t="s">
        <v>23</v>
      </c>
      <c r="F390" s="110">
        <v>15</v>
      </c>
      <c r="G390" s="110">
        <v>15</v>
      </c>
      <c r="H390" s="155">
        <f>R15</f>
        <v>543</v>
      </c>
      <c r="I390" s="138">
        <f t="shared" si="20"/>
        <v>8.15</v>
      </c>
      <c r="J390" s="111">
        <v>12.38</v>
      </c>
      <c r="K390" s="111">
        <v>13.34</v>
      </c>
      <c r="L390" s="111">
        <v>30.28</v>
      </c>
      <c r="M390" s="111">
        <v>290.7</v>
      </c>
      <c r="N390" s="152">
        <v>450</v>
      </c>
      <c r="O390" s="98">
        <f>(J390+L390)*4+K390*9</f>
        <v>290.7</v>
      </c>
    </row>
    <row r="391" spans="2:15" ht="14.25">
      <c r="B391" s="3">
        <v>2</v>
      </c>
      <c r="C391" s="202" t="s">
        <v>35</v>
      </c>
      <c r="D391" s="244">
        <v>44</v>
      </c>
      <c r="E391" s="3" t="s">
        <v>19</v>
      </c>
      <c r="F391" s="3">
        <v>44</v>
      </c>
      <c r="G391" s="3">
        <v>44</v>
      </c>
      <c r="H391" s="120">
        <f>R56</f>
        <v>48</v>
      </c>
      <c r="I391" s="138">
        <f t="shared" si="20"/>
        <v>2.11</v>
      </c>
      <c r="J391" s="163">
        <v>2.96</v>
      </c>
      <c r="K391" s="163">
        <v>0.32</v>
      </c>
      <c r="L391" s="163">
        <v>22.14</v>
      </c>
      <c r="M391" s="250">
        <v>103.28</v>
      </c>
      <c r="N391" s="206"/>
      <c r="O391" s="98">
        <f>(J391+L391)*4+K391*9</f>
        <v>103.28</v>
      </c>
    </row>
    <row r="392" spans="2:15" ht="14.25">
      <c r="B392" s="3">
        <v>3</v>
      </c>
      <c r="C392" s="112" t="s">
        <v>233</v>
      </c>
      <c r="D392" s="113">
        <v>200</v>
      </c>
      <c r="E392" s="109" t="s">
        <v>51</v>
      </c>
      <c r="F392" s="109">
        <v>1</v>
      </c>
      <c r="G392" s="109">
        <v>1</v>
      </c>
      <c r="H392" s="120">
        <f>R54</f>
        <v>507</v>
      </c>
      <c r="I392" s="138">
        <f t="shared" si="20"/>
        <v>0.51</v>
      </c>
      <c r="J392" s="162"/>
      <c r="K392" s="162"/>
      <c r="L392" s="162"/>
      <c r="M392" s="162"/>
      <c r="N392" s="156"/>
      <c r="O392" s="98"/>
    </row>
    <row r="393" spans="2:15" ht="14.25">
      <c r="B393" s="3"/>
      <c r="C393" s="112"/>
      <c r="D393" s="113"/>
      <c r="E393" s="109" t="s">
        <v>232</v>
      </c>
      <c r="F393" s="109">
        <v>8</v>
      </c>
      <c r="G393" s="109">
        <v>7</v>
      </c>
      <c r="H393" s="120">
        <f>R58</f>
        <v>220</v>
      </c>
      <c r="I393" s="138">
        <f t="shared" si="20"/>
        <v>1.76</v>
      </c>
      <c r="J393" s="162"/>
      <c r="K393" s="162"/>
      <c r="L393" s="162"/>
      <c r="M393" s="162"/>
      <c r="N393" s="156"/>
      <c r="O393" s="98"/>
    </row>
    <row r="394" spans="2:15" ht="14.25">
      <c r="B394" s="3"/>
      <c r="C394" s="112"/>
      <c r="D394" s="113"/>
      <c r="E394" s="109" t="s">
        <v>2</v>
      </c>
      <c r="F394" s="109">
        <v>11</v>
      </c>
      <c r="G394" s="109">
        <v>11</v>
      </c>
      <c r="H394" s="120">
        <f>R46</f>
        <v>85</v>
      </c>
      <c r="I394" s="138">
        <f t="shared" si="20"/>
        <v>0.94</v>
      </c>
      <c r="J394" s="162">
        <v>9.02</v>
      </c>
      <c r="K394" s="162">
        <v>2.28</v>
      </c>
      <c r="L394" s="162">
        <v>15.42</v>
      </c>
      <c r="M394" s="162">
        <v>118.28</v>
      </c>
      <c r="N394" s="156">
        <v>377</v>
      </c>
      <c r="O394" s="98">
        <f>(J394+L394)*4+K394*9</f>
        <v>118.28</v>
      </c>
    </row>
    <row r="395" spans="2:15" ht="14.25">
      <c r="B395" s="3"/>
      <c r="C395" s="112"/>
      <c r="D395" s="109"/>
      <c r="E395" s="109" t="s">
        <v>149</v>
      </c>
      <c r="F395" s="109">
        <v>0.5</v>
      </c>
      <c r="G395" s="109">
        <v>0.5</v>
      </c>
      <c r="H395" s="120">
        <f>R50</f>
        <v>27</v>
      </c>
      <c r="I395" s="138">
        <f t="shared" si="20"/>
        <v>0.01</v>
      </c>
      <c r="J395" s="111"/>
      <c r="K395" s="111"/>
      <c r="L395" s="111"/>
      <c r="M395" s="111"/>
      <c r="N395" s="156"/>
      <c r="O395" s="98"/>
    </row>
    <row r="396" spans="2:15" ht="15">
      <c r="B396" s="2"/>
      <c r="C396" s="150"/>
      <c r="D396" s="214"/>
      <c r="E396" s="150"/>
      <c r="F396" s="150"/>
      <c r="G396" s="150"/>
      <c r="H396" s="150"/>
      <c r="I396" s="115">
        <f>SUM(I388:I395)</f>
        <v>19.22</v>
      </c>
      <c r="J396" s="115">
        <f>SUM(J388:J395)</f>
        <v>24.36</v>
      </c>
      <c r="K396" s="115">
        <f>SUM(K388:K395)</f>
        <v>15.94</v>
      </c>
      <c r="L396" s="115">
        <f>SUM(L388:L395)</f>
        <v>67.84</v>
      </c>
      <c r="M396" s="115">
        <f>SUM(M388:M395)</f>
        <v>512.26</v>
      </c>
      <c r="N396" s="159"/>
      <c r="O396" s="98">
        <f>(J396+L396)*4+K396*9</f>
        <v>512.26</v>
      </c>
    </row>
    <row r="397" spans="2:15" s="45" customFormat="1" ht="15">
      <c r="B397" s="247"/>
      <c r="C397" s="251" t="s">
        <v>5</v>
      </c>
      <c r="D397" s="154"/>
      <c r="E397" s="154"/>
      <c r="F397" s="154"/>
      <c r="G397" s="154"/>
      <c r="H397" s="154"/>
      <c r="I397" s="185"/>
      <c r="J397" s="125"/>
      <c r="K397" s="125"/>
      <c r="L397" s="125"/>
      <c r="M397" s="125"/>
      <c r="N397" s="156"/>
      <c r="O397" s="186"/>
    </row>
    <row r="398" spans="2:15" ht="14.25">
      <c r="B398" s="3">
        <v>1</v>
      </c>
      <c r="C398" s="124" t="s">
        <v>124</v>
      </c>
      <c r="D398" s="113">
        <v>200</v>
      </c>
      <c r="E398" s="109" t="s">
        <v>7</v>
      </c>
      <c r="F398" s="109">
        <v>83</v>
      </c>
      <c r="G398" s="109">
        <v>59</v>
      </c>
      <c r="H398" s="109">
        <f>R18</f>
        <v>54</v>
      </c>
      <c r="I398" s="138">
        <f>F398*H398/1000</f>
        <v>4.48</v>
      </c>
      <c r="J398" s="111"/>
      <c r="K398" s="111"/>
      <c r="L398" s="111"/>
      <c r="M398" s="111"/>
      <c r="N398" s="156"/>
      <c r="O398" s="98"/>
    </row>
    <row r="399" spans="2:15" ht="14.25">
      <c r="B399" s="3"/>
      <c r="C399" s="105"/>
      <c r="D399" s="113"/>
      <c r="E399" s="109" t="s">
        <v>1</v>
      </c>
      <c r="F399" s="109">
        <v>8</v>
      </c>
      <c r="G399" s="109">
        <v>8</v>
      </c>
      <c r="H399" s="109">
        <f>R39</f>
        <v>116</v>
      </c>
      <c r="I399" s="138">
        <f>F399*H399/1000</f>
        <v>0.93</v>
      </c>
      <c r="J399" s="111"/>
      <c r="K399" s="111"/>
      <c r="L399" s="111"/>
      <c r="M399" s="111"/>
      <c r="N399" s="156"/>
      <c r="O399" s="98"/>
    </row>
    <row r="400" spans="2:15" ht="14.25">
      <c r="B400" s="3"/>
      <c r="C400" s="105"/>
      <c r="D400" s="113"/>
      <c r="E400" s="109" t="s">
        <v>8</v>
      </c>
      <c r="F400" s="109">
        <v>10</v>
      </c>
      <c r="G400" s="109">
        <v>8</v>
      </c>
      <c r="H400" s="109">
        <f>R21</f>
        <v>60</v>
      </c>
      <c r="I400" s="138">
        <f>F400*H400/1000</f>
        <v>0.6</v>
      </c>
      <c r="J400" s="111"/>
      <c r="K400" s="111"/>
      <c r="L400" s="111"/>
      <c r="M400" s="111"/>
      <c r="N400" s="156"/>
      <c r="O400" s="98"/>
    </row>
    <row r="401" spans="2:15" ht="14.25">
      <c r="B401" s="3"/>
      <c r="C401" s="105"/>
      <c r="D401" s="113"/>
      <c r="E401" s="109" t="s">
        <v>24</v>
      </c>
      <c r="F401" s="109">
        <v>9</v>
      </c>
      <c r="G401" s="109">
        <v>8</v>
      </c>
      <c r="H401" s="109">
        <f>R20</f>
        <v>49</v>
      </c>
      <c r="I401" s="138">
        <f>F401*H401/1000</f>
        <v>0.44</v>
      </c>
      <c r="J401" s="111"/>
      <c r="K401" s="111"/>
      <c r="L401" s="111"/>
      <c r="M401" s="111"/>
      <c r="N401" s="156"/>
      <c r="O401" s="98"/>
    </row>
    <row r="402" spans="2:15" ht="14.25">
      <c r="B402" s="3"/>
      <c r="C402" s="105"/>
      <c r="D402" s="113"/>
      <c r="E402" s="109" t="s">
        <v>26</v>
      </c>
      <c r="F402" s="109">
        <v>4</v>
      </c>
      <c r="G402" s="109">
        <v>4</v>
      </c>
      <c r="H402" s="177">
        <f>R33</f>
        <v>145</v>
      </c>
      <c r="I402" s="138">
        <f>F402*H402/1000</f>
        <v>0.58</v>
      </c>
      <c r="J402" s="163">
        <v>2.47</v>
      </c>
      <c r="K402" s="163">
        <v>4.32</v>
      </c>
      <c r="L402" s="163">
        <v>15.74</v>
      </c>
      <c r="M402" s="163">
        <v>111.72</v>
      </c>
      <c r="N402" s="156">
        <v>219</v>
      </c>
      <c r="O402" s="98">
        <f>(J402+L402)*4+K402*9</f>
        <v>111.72</v>
      </c>
    </row>
    <row r="403" spans="2:19" ht="15">
      <c r="B403" s="17">
        <v>2</v>
      </c>
      <c r="C403" s="226" t="s">
        <v>224</v>
      </c>
      <c r="D403" s="19">
        <v>65</v>
      </c>
      <c r="E403" s="3" t="s">
        <v>16</v>
      </c>
      <c r="F403" s="3">
        <v>48</v>
      </c>
      <c r="G403" s="3">
        <v>48</v>
      </c>
      <c r="H403" s="154">
        <f>R6</f>
        <v>622</v>
      </c>
      <c r="I403" s="111">
        <f aca="true" t="shared" si="21" ref="I403:I410">H403*F403/1000</f>
        <v>29.86</v>
      </c>
      <c r="J403" s="162"/>
      <c r="K403" s="162"/>
      <c r="L403" s="162"/>
      <c r="M403" s="162"/>
      <c r="N403" s="156"/>
      <c r="O403" s="98"/>
      <c r="S403" s="24"/>
    </row>
    <row r="404" spans="2:19" ht="15">
      <c r="B404" s="17"/>
      <c r="C404" s="3"/>
      <c r="D404" s="3"/>
      <c r="E404" s="3" t="s">
        <v>19</v>
      </c>
      <c r="F404" s="3">
        <v>11</v>
      </c>
      <c r="G404" s="3">
        <v>11</v>
      </c>
      <c r="H404" s="154">
        <f>R56</f>
        <v>48</v>
      </c>
      <c r="I404" s="111">
        <f t="shared" si="21"/>
        <v>0.53</v>
      </c>
      <c r="J404" s="162"/>
      <c r="K404" s="162"/>
      <c r="L404" s="162"/>
      <c r="M404" s="162"/>
      <c r="N404" s="156"/>
      <c r="O404" s="98"/>
      <c r="S404" s="24"/>
    </row>
    <row r="405" spans="2:19" ht="15">
      <c r="B405" s="17"/>
      <c r="C405" s="3"/>
      <c r="D405" s="3"/>
      <c r="E405" s="3" t="s">
        <v>218</v>
      </c>
      <c r="F405" s="3">
        <v>11</v>
      </c>
      <c r="G405" s="3">
        <v>11</v>
      </c>
      <c r="H405" s="154">
        <f>R56</f>
        <v>48</v>
      </c>
      <c r="I405" s="111">
        <f t="shared" si="21"/>
        <v>0.53</v>
      </c>
      <c r="J405" s="162"/>
      <c r="K405" s="162"/>
      <c r="L405" s="162"/>
      <c r="M405" s="162"/>
      <c r="N405" s="156"/>
      <c r="O405" s="98"/>
      <c r="S405" s="24"/>
    </row>
    <row r="406" spans="2:19" ht="15">
      <c r="B406" s="17"/>
      <c r="C406" s="3"/>
      <c r="D406" s="3"/>
      <c r="E406" s="3" t="s">
        <v>6</v>
      </c>
      <c r="F406" s="3">
        <v>11</v>
      </c>
      <c r="G406" s="3">
        <v>10</v>
      </c>
      <c r="H406" s="154">
        <f>R20</f>
        <v>49</v>
      </c>
      <c r="I406" s="111">
        <f t="shared" si="21"/>
        <v>0.54</v>
      </c>
      <c r="J406" s="162"/>
      <c r="K406" s="162"/>
      <c r="L406" s="162"/>
      <c r="M406" s="162"/>
      <c r="N406" s="156"/>
      <c r="O406" s="98"/>
      <c r="S406" s="24"/>
    </row>
    <row r="407" spans="2:19" ht="15">
      <c r="B407" s="17"/>
      <c r="C407" s="3"/>
      <c r="D407" s="3"/>
      <c r="E407" s="3" t="s">
        <v>11</v>
      </c>
      <c r="F407" s="3">
        <v>0.11</v>
      </c>
      <c r="G407" s="3">
        <v>0.11</v>
      </c>
      <c r="H407" s="185">
        <f>R5</f>
        <v>13.5</v>
      </c>
      <c r="I407" s="111">
        <f>H407*F407</f>
        <v>1.49</v>
      </c>
      <c r="J407" s="162"/>
      <c r="K407" s="162"/>
      <c r="L407" s="162"/>
      <c r="M407" s="162"/>
      <c r="N407" s="156"/>
      <c r="O407" s="98"/>
      <c r="S407" s="24"/>
    </row>
    <row r="408" spans="2:19" ht="15">
      <c r="B408" s="17"/>
      <c r="C408" s="3"/>
      <c r="D408" s="3"/>
      <c r="E408" s="3" t="s">
        <v>26</v>
      </c>
      <c r="F408" s="3">
        <v>4</v>
      </c>
      <c r="G408" s="3">
        <v>4</v>
      </c>
      <c r="H408" s="154">
        <f>R33</f>
        <v>145</v>
      </c>
      <c r="I408" s="111">
        <f t="shared" si="21"/>
        <v>0.58</v>
      </c>
      <c r="J408" s="195">
        <v>10.11</v>
      </c>
      <c r="K408" s="195">
        <v>16.07</v>
      </c>
      <c r="L408" s="195">
        <v>10.21</v>
      </c>
      <c r="M408" s="195">
        <v>225.91</v>
      </c>
      <c r="N408" s="211">
        <v>658</v>
      </c>
      <c r="O408" s="98">
        <f>(J408+L408)*4+K408*9</f>
        <v>225.91</v>
      </c>
      <c r="S408" s="24"/>
    </row>
    <row r="409" spans="2:19" ht="15">
      <c r="B409" s="17">
        <v>3</v>
      </c>
      <c r="C409" s="153" t="s">
        <v>198</v>
      </c>
      <c r="D409" s="109">
        <v>150</v>
      </c>
      <c r="E409" s="105" t="s">
        <v>199</v>
      </c>
      <c r="F409" s="109">
        <v>49</v>
      </c>
      <c r="G409" s="109">
        <v>49</v>
      </c>
      <c r="H409" s="154">
        <f>R44</f>
        <v>48</v>
      </c>
      <c r="I409" s="111">
        <f t="shared" si="21"/>
        <v>2.35</v>
      </c>
      <c r="J409" s="162"/>
      <c r="K409" s="162"/>
      <c r="L409" s="162"/>
      <c r="M409" s="162"/>
      <c r="N409" s="156"/>
      <c r="O409" s="98"/>
      <c r="S409" s="24"/>
    </row>
    <row r="410" spans="2:19" ht="15">
      <c r="B410" s="17"/>
      <c r="C410" s="126"/>
      <c r="D410" s="109"/>
      <c r="E410" s="105" t="s">
        <v>28</v>
      </c>
      <c r="F410" s="109">
        <v>7</v>
      </c>
      <c r="G410" s="109">
        <v>7</v>
      </c>
      <c r="H410" s="154">
        <f>R11</f>
        <v>467</v>
      </c>
      <c r="I410" s="111">
        <f t="shared" si="21"/>
        <v>3.27</v>
      </c>
      <c r="J410" s="163">
        <v>8.1</v>
      </c>
      <c r="K410" s="163">
        <v>0.9</v>
      </c>
      <c r="L410" s="163">
        <v>52.2</v>
      </c>
      <c r="M410" s="163">
        <v>249.3</v>
      </c>
      <c r="N410" s="152"/>
      <c r="O410" s="98">
        <f>(J410+L410)*4+K410*9</f>
        <v>249.3</v>
      </c>
      <c r="S410" s="24"/>
    </row>
    <row r="411" spans="2:19" ht="14.25">
      <c r="B411" s="17">
        <v>4</v>
      </c>
      <c r="C411" s="135" t="s">
        <v>35</v>
      </c>
      <c r="D411" s="136">
        <v>40</v>
      </c>
      <c r="E411" s="136" t="s">
        <v>19</v>
      </c>
      <c r="F411" s="136">
        <v>40</v>
      </c>
      <c r="G411" s="136">
        <v>40</v>
      </c>
      <c r="H411" s="136">
        <f>R56</f>
        <v>48</v>
      </c>
      <c r="I411" s="138">
        <f>F411*H411/1000</f>
        <v>1.92</v>
      </c>
      <c r="J411" s="163">
        <v>2.45</v>
      </c>
      <c r="K411" s="163">
        <v>7.63</v>
      </c>
      <c r="L411" s="163">
        <v>14.62</v>
      </c>
      <c r="M411" s="163">
        <v>136.95</v>
      </c>
      <c r="N411" s="156"/>
      <c r="O411" s="98">
        <f>(J411+L411)*4+K411*9</f>
        <v>136.95</v>
      </c>
      <c r="S411" s="25"/>
    </row>
    <row r="412" spans="2:19" ht="14.25">
      <c r="B412" s="17">
        <v>5</v>
      </c>
      <c r="C412" s="112" t="s">
        <v>25</v>
      </c>
      <c r="D412" s="109">
        <v>200</v>
      </c>
      <c r="E412" s="109" t="s">
        <v>20</v>
      </c>
      <c r="F412" s="109">
        <v>14</v>
      </c>
      <c r="G412" s="109">
        <v>14</v>
      </c>
      <c r="H412" s="136">
        <f>R29</f>
        <v>140</v>
      </c>
      <c r="I412" s="138">
        <f>F412*H412/1000</f>
        <v>1.96</v>
      </c>
      <c r="J412" s="193"/>
      <c r="K412" s="193"/>
      <c r="L412" s="193"/>
      <c r="M412" s="163"/>
      <c r="N412" s="156"/>
      <c r="O412" s="98"/>
      <c r="S412" s="25"/>
    </row>
    <row r="413" spans="2:19" ht="14.25">
      <c r="B413" s="17"/>
      <c r="C413" s="112"/>
      <c r="D413" s="109"/>
      <c r="E413" s="109" t="s">
        <v>2</v>
      </c>
      <c r="F413" s="109">
        <v>11</v>
      </c>
      <c r="G413" s="109">
        <v>11</v>
      </c>
      <c r="H413" s="136">
        <f>R46</f>
        <v>85</v>
      </c>
      <c r="I413" s="138">
        <f>F413*H413/1000</f>
        <v>0.94</v>
      </c>
      <c r="J413" s="194">
        <v>0.04</v>
      </c>
      <c r="K413" s="194">
        <v>0</v>
      </c>
      <c r="L413" s="194">
        <v>24.76</v>
      </c>
      <c r="M413" s="163">
        <v>99.2</v>
      </c>
      <c r="N413" s="156">
        <v>349</v>
      </c>
      <c r="O413" s="98">
        <f>(J413+L413)*4+K413*9</f>
        <v>99.2</v>
      </c>
      <c r="S413" s="25"/>
    </row>
    <row r="414" spans="2:15" ht="14.25">
      <c r="B414" s="3"/>
      <c r="C414" s="112"/>
      <c r="D414" s="109"/>
      <c r="E414" s="109" t="s">
        <v>149</v>
      </c>
      <c r="F414" s="109">
        <v>2.5</v>
      </c>
      <c r="G414" s="109">
        <v>2.5</v>
      </c>
      <c r="H414" s="109">
        <f>R50</f>
        <v>27</v>
      </c>
      <c r="I414" s="111">
        <f>F414*H414/1000</f>
        <v>0.07</v>
      </c>
      <c r="J414" s="111"/>
      <c r="K414" s="111"/>
      <c r="L414" s="111"/>
      <c r="M414" s="111"/>
      <c r="N414" s="156"/>
      <c r="O414" s="98"/>
    </row>
    <row r="415" spans="2:15" ht="14.25">
      <c r="B415" s="3"/>
      <c r="C415" s="112"/>
      <c r="D415" s="109"/>
      <c r="E415" s="109" t="s">
        <v>93</v>
      </c>
      <c r="F415" s="109">
        <v>0.02</v>
      </c>
      <c r="G415" s="109">
        <v>0.02</v>
      </c>
      <c r="H415" s="109">
        <f>R55</f>
        <v>617</v>
      </c>
      <c r="I415" s="111">
        <f>F415*H415/1000</f>
        <v>0.01</v>
      </c>
      <c r="J415" s="111"/>
      <c r="K415" s="111"/>
      <c r="L415" s="111"/>
      <c r="M415" s="111"/>
      <c r="N415" s="156"/>
      <c r="O415" s="98"/>
    </row>
    <row r="416" spans="2:15" ht="15">
      <c r="B416" s="2"/>
      <c r="C416" s="109"/>
      <c r="D416" s="200"/>
      <c r="E416" s="109"/>
      <c r="F416" s="109"/>
      <c r="G416" s="109"/>
      <c r="H416" s="109"/>
      <c r="I416" s="115">
        <f>SUM(I398:I415)</f>
        <v>51.08</v>
      </c>
      <c r="J416" s="115">
        <f>SUM(J398:J415)</f>
        <v>23.17</v>
      </c>
      <c r="K416" s="115">
        <f>SUM(K398:K415)</f>
        <v>28.92</v>
      </c>
      <c r="L416" s="115">
        <f>SUM(L398:L415)</f>
        <v>117.53</v>
      </c>
      <c r="M416" s="115">
        <f>SUM(M398:M415)</f>
        <v>823.08</v>
      </c>
      <c r="N416" s="159"/>
      <c r="O416" s="98">
        <f>(J416+L416)*4+K416*9</f>
        <v>823.08</v>
      </c>
    </row>
    <row r="417" spans="2:15" ht="15">
      <c r="B417" s="3"/>
      <c r="C417" s="116" t="s">
        <v>99</v>
      </c>
      <c r="D417" s="109"/>
      <c r="E417" s="109"/>
      <c r="F417" s="150"/>
      <c r="G417" s="150"/>
      <c r="H417" s="150"/>
      <c r="I417" s="150"/>
      <c r="J417" s="150"/>
      <c r="K417" s="150"/>
      <c r="L417" s="150"/>
      <c r="M417" s="150"/>
      <c r="N417" s="176"/>
      <c r="O417" s="98"/>
    </row>
    <row r="418" spans="2:15" ht="14.25">
      <c r="B418" s="6">
        <v>1</v>
      </c>
      <c r="C418" s="124" t="s">
        <v>178</v>
      </c>
      <c r="D418" s="109">
        <v>85</v>
      </c>
      <c r="E418" s="109" t="s">
        <v>74</v>
      </c>
      <c r="F418" s="120">
        <v>55</v>
      </c>
      <c r="G418" s="120">
        <v>55</v>
      </c>
      <c r="H418" s="109">
        <f>R36</f>
        <v>40</v>
      </c>
      <c r="I418" s="111">
        <f>F418*H418/1000</f>
        <v>2.2</v>
      </c>
      <c r="J418" s="162"/>
      <c r="K418" s="162"/>
      <c r="L418" s="162"/>
      <c r="M418" s="163"/>
      <c r="N418" s="156"/>
      <c r="O418" s="98"/>
    </row>
    <row r="419" spans="2:15" ht="14.25">
      <c r="B419" s="6"/>
      <c r="C419" s="124"/>
      <c r="D419" s="109"/>
      <c r="E419" s="109" t="s">
        <v>28</v>
      </c>
      <c r="F419" s="120">
        <v>6</v>
      </c>
      <c r="G419" s="120">
        <v>6</v>
      </c>
      <c r="H419" s="109">
        <f>R11</f>
        <v>467</v>
      </c>
      <c r="I419" s="111">
        <f>F419*H419/1000</f>
        <v>2.8</v>
      </c>
      <c r="J419" s="162"/>
      <c r="K419" s="162"/>
      <c r="L419" s="162"/>
      <c r="M419" s="163"/>
      <c r="N419" s="156"/>
      <c r="O419" s="98"/>
    </row>
    <row r="420" spans="2:15" ht="14.25">
      <c r="B420" s="6"/>
      <c r="C420" s="124"/>
      <c r="D420" s="109"/>
      <c r="E420" s="109" t="s">
        <v>9</v>
      </c>
      <c r="F420" s="120">
        <v>9</v>
      </c>
      <c r="G420" s="120">
        <v>9</v>
      </c>
      <c r="H420" s="109">
        <f>R12</f>
        <v>199</v>
      </c>
      <c r="I420" s="111">
        <f>F420*H420/1000</f>
        <v>1.79</v>
      </c>
      <c r="J420" s="162"/>
      <c r="K420" s="162"/>
      <c r="L420" s="162"/>
      <c r="M420" s="163"/>
      <c r="N420" s="156"/>
      <c r="O420" s="98"/>
    </row>
    <row r="421" spans="2:15" ht="14.25">
      <c r="B421" s="6"/>
      <c r="C421" s="124"/>
      <c r="D421" s="109"/>
      <c r="E421" s="109" t="s">
        <v>2</v>
      </c>
      <c r="F421" s="120">
        <v>2.5</v>
      </c>
      <c r="G421" s="120">
        <v>2.5</v>
      </c>
      <c r="H421" s="109">
        <f>R46</f>
        <v>85</v>
      </c>
      <c r="I421" s="111">
        <f>F421*H421/1000</f>
        <v>0.21</v>
      </c>
      <c r="J421" s="162"/>
      <c r="K421" s="162"/>
      <c r="L421" s="162"/>
      <c r="M421" s="163"/>
      <c r="N421" s="156"/>
      <c r="O421" s="98"/>
    </row>
    <row r="422" spans="2:15" ht="14.25">
      <c r="B422" s="6"/>
      <c r="C422" s="124"/>
      <c r="D422" s="109"/>
      <c r="E422" s="109" t="s">
        <v>11</v>
      </c>
      <c r="F422" s="120">
        <v>0.17</v>
      </c>
      <c r="G422" s="120">
        <v>0.17</v>
      </c>
      <c r="H422" s="111">
        <f>R5</f>
        <v>13.5</v>
      </c>
      <c r="I422" s="111">
        <f>F422*H422</f>
        <v>2.3</v>
      </c>
      <c r="J422" s="169">
        <v>7.32</v>
      </c>
      <c r="K422" s="169">
        <v>12.25</v>
      </c>
      <c r="L422" s="169">
        <v>49.22</v>
      </c>
      <c r="M422" s="163">
        <v>336.41</v>
      </c>
      <c r="N422" s="156">
        <v>502</v>
      </c>
      <c r="O422" s="98">
        <f>(J422+L422)*4+K422*9</f>
        <v>336.41</v>
      </c>
    </row>
    <row r="423" spans="2:15" ht="15">
      <c r="B423" s="6">
        <v>2</v>
      </c>
      <c r="C423" s="166" t="s">
        <v>132</v>
      </c>
      <c r="D423" s="132">
        <v>160</v>
      </c>
      <c r="E423" s="132" t="s">
        <v>133</v>
      </c>
      <c r="F423" s="167">
        <v>160</v>
      </c>
      <c r="G423" s="167">
        <v>160</v>
      </c>
      <c r="H423" s="120">
        <f>R32</f>
        <v>62</v>
      </c>
      <c r="I423" s="138">
        <f>F423*H423/1000</f>
        <v>9.92</v>
      </c>
      <c r="J423" s="125">
        <v>0.83</v>
      </c>
      <c r="K423" s="125">
        <v>0</v>
      </c>
      <c r="L423" s="125">
        <v>19.2</v>
      </c>
      <c r="M423" s="125">
        <v>80.12</v>
      </c>
      <c r="N423" s="159"/>
      <c r="O423" s="98">
        <f>(J423+L423)*4+K423*9</f>
        <v>80.12</v>
      </c>
    </row>
    <row r="424" spans="2:15" ht="15">
      <c r="B424" s="3"/>
      <c r="C424" s="109"/>
      <c r="D424" s="200"/>
      <c r="E424" s="109"/>
      <c r="F424" s="150"/>
      <c r="G424" s="150"/>
      <c r="H424" s="150"/>
      <c r="I424" s="115">
        <f>SUM(I418:I423)</f>
        <v>19.22</v>
      </c>
      <c r="J424" s="115">
        <f>SUM(J418:J423)</f>
        <v>8.15</v>
      </c>
      <c r="K424" s="115">
        <f>SUM(K418:K423)</f>
        <v>12.25</v>
      </c>
      <c r="L424" s="115">
        <f>SUM(L418:L423)</f>
        <v>68.42</v>
      </c>
      <c r="M424" s="115">
        <f>SUM(M418:M423)</f>
        <v>416.53</v>
      </c>
      <c r="N424" s="159"/>
      <c r="O424" s="98">
        <f>(J424+L424)*4+K424*9</f>
        <v>416.53</v>
      </c>
    </row>
    <row r="425" spans="2:15" ht="15">
      <c r="B425" s="271" t="s">
        <v>129</v>
      </c>
      <c r="C425" s="271"/>
      <c r="D425" s="271"/>
      <c r="E425" s="271"/>
      <c r="F425" s="271"/>
      <c r="G425" s="271"/>
      <c r="H425" s="271"/>
      <c r="I425" s="271"/>
      <c r="J425" s="115">
        <f>J396+J416+J424</f>
        <v>55.68</v>
      </c>
      <c r="K425" s="115">
        <f>K396+K416+K424</f>
        <v>57.11</v>
      </c>
      <c r="L425" s="115">
        <f>L396+L416+L424</f>
        <v>253.79</v>
      </c>
      <c r="M425" s="115">
        <f>M396+M416+M424</f>
        <v>1751.87</v>
      </c>
      <c r="N425" s="159"/>
      <c r="O425" s="98">
        <f>(J425+L425)*4+K425*9</f>
        <v>1751.87</v>
      </c>
    </row>
    <row r="426" spans="2:15" ht="15">
      <c r="B426" s="16"/>
      <c r="C426" s="128"/>
      <c r="D426" s="129"/>
      <c r="E426" s="129"/>
      <c r="O426" s="98"/>
    </row>
    <row r="427" spans="2:15" ht="15">
      <c r="B427" s="245"/>
      <c r="C427" s="128" t="s">
        <v>42</v>
      </c>
      <c r="D427" s="129"/>
      <c r="E427" s="129"/>
      <c r="O427" s="98"/>
    </row>
    <row r="428" spans="2:15" ht="28.5">
      <c r="B428" s="265" t="s">
        <v>3</v>
      </c>
      <c r="C428" s="105"/>
      <c r="D428" s="105" t="s">
        <v>4</v>
      </c>
      <c r="E428" s="267" t="s">
        <v>29</v>
      </c>
      <c r="F428" s="107" t="s">
        <v>12</v>
      </c>
      <c r="G428" s="107" t="s">
        <v>58</v>
      </c>
      <c r="H428" s="107" t="s">
        <v>30</v>
      </c>
      <c r="I428" s="107" t="s">
        <v>31</v>
      </c>
      <c r="J428" s="269" t="s">
        <v>70</v>
      </c>
      <c r="K428" s="269" t="s">
        <v>71</v>
      </c>
      <c r="L428" s="269" t="s">
        <v>72</v>
      </c>
      <c r="M428" s="269" t="s">
        <v>73</v>
      </c>
      <c r="N428" s="272" t="s">
        <v>148</v>
      </c>
      <c r="O428" s="98"/>
    </row>
    <row r="429" spans="2:15" ht="15">
      <c r="B429" s="266"/>
      <c r="C429" s="108" t="s">
        <v>0</v>
      </c>
      <c r="D429" s="105" t="s">
        <v>32</v>
      </c>
      <c r="E429" s="268"/>
      <c r="F429" s="109" t="s">
        <v>32</v>
      </c>
      <c r="G429" s="109" t="s">
        <v>32</v>
      </c>
      <c r="H429" s="109" t="s">
        <v>33</v>
      </c>
      <c r="I429" s="109" t="s">
        <v>34</v>
      </c>
      <c r="J429" s="270"/>
      <c r="K429" s="270"/>
      <c r="L429" s="270"/>
      <c r="M429" s="270"/>
      <c r="N429" s="273"/>
      <c r="O429" s="98"/>
    </row>
    <row r="430" spans="2:15" ht="14.25">
      <c r="B430" s="3">
        <v>1</v>
      </c>
      <c r="C430" s="153" t="s">
        <v>200</v>
      </c>
      <c r="D430" s="109">
        <v>110</v>
      </c>
      <c r="E430" s="109" t="s">
        <v>7</v>
      </c>
      <c r="F430" s="109">
        <v>114</v>
      </c>
      <c r="G430" s="109">
        <v>89</v>
      </c>
      <c r="H430" s="177">
        <f>R18</f>
        <v>54</v>
      </c>
      <c r="I430" s="111">
        <f aca="true" t="shared" si="22" ref="I430:I439">F430*H430/1000</f>
        <v>6.16</v>
      </c>
      <c r="J430" s="163"/>
      <c r="K430" s="163"/>
      <c r="L430" s="163"/>
      <c r="M430" s="111"/>
      <c r="N430" s="156"/>
      <c r="O430" s="98"/>
    </row>
    <row r="431" spans="2:15" ht="14.25">
      <c r="B431" s="2"/>
      <c r="C431" s="109"/>
      <c r="D431" s="109"/>
      <c r="E431" s="109" t="s">
        <v>8</v>
      </c>
      <c r="F431" s="109">
        <v>12</v>
      </c>
      <c r="G431" s="109">
        <v>10</v>
      </c>
      <c r="H431" s="177">
        <f>R21</f>
        <v>60</v>
      </c>
      <c r="I431" s="111">
        <f t="shared" si="22"/>
        <v>0.72</v>
      </c>
      <c r="J431" s="163"/>
      <c r="K431" s="163"/>
      <c r="L431" s="163"/>
      <c r="M431" s="111"/>
      <c r="N431" s="156"/>
      <c r="O431" s="98"/>
    </row>
    <row r="432" spans="2:15" ht="14.25">
      <c r="B432" s="3"/>
      <c r="C432" s="109"/>
      <c r="D432" s="109"/>
      <c r="E432" s="109" t="s">
        <v>6</v>
      </c>
      <c r="F432" s="109">
        <v>12</v>
      </c>
      <c r="G432" s="109">
        <v>11</v>
      </c>
      <c r="H432" s="177">
        <f>R20</f>
        <v>49</v>
      </c>
      <c r="I432" s="111">
        <f t="shared" si="22"/>
        <v>0.59</v>
      </c>
      <c r="J432" s="111"/>
      <c r="K432" s="111"/>
      <c r="L432" s="111"/>
      <c r="M432" s="111"/>
      <c r="N432" s="152"/>
      <c r="O432" s="98"/>
    </row>
    <row r="433" spans="2:15" ht="14.25">
      <c r="B433" s="3"/>
      <c r="C433" s="109"/>
      <c r="D433" s="109"/>
      <c r="E433" s="109" t="s">
        <v>18</v>
      </c>
      <c r="F433" s="109">
        <v>3</v>
      </c>
      <c r="G433" s="109">
        <v>3</v>
      </c>
      <c r="H433" s="177">
        <f>R26</f>
        <v>142</v>
      </c>
      <c r="I433" s="111">
        <f t="shared" si="22"/>
        <v>0.43</v>
      </c>
      <c r="J433" s="111"/>
      <c r="K433" s="111"/>
      <c r="L433" s="111"/>
      <c r="M433" s="111"/>
      <c r="N433" s="152"/>
      <c r="O433" s="98"/>
    </row>
    <row r="434" spans="2:15" ht="14.25">
      <c r="B434" s="3"/>
      <c r="C434" s="109"/>
      <c r="D434" s="109"/>
      <c r="E434" s="109" t="s">
        <v>28</v>
      </c>
      <c r="F434" s="109">
        <v>8</v>
      </c>
      <c r="G434" s="109">
        <v>8</v>
      </c>
      <c r="H434" s="177">
        <f>R11</f>
        <v>467</v>
      </c>
      <c r="I434" s="111">
        <f t="shared" si="22"/>
        <v>3.74</v>
      </c>
      <c r="J434" s="111">
        <v>2.39</v>
      </c>
      <c r="K434" s="111">
        <v>6.7</v>
      </c>
      <c r="L434" s="111">
        <v>16.6</v>
      </c>
      <c r="M434" s="111">
        <v>136.26</v>
      </c>
      <c r="N434" s="156">
        <v>33</v>
      </c>
      <c r="O434" s="98">
        <f>(J434+L434)*4+K434*9</f>
        <v>136.26</v>
      </c>
    </row>
    <row r="435" spans="2:15" ht="14.25">
      <c r="B435" s="3">
        <v>2</v>
      </c>
      <c r="C435" s="112" t="s">
        <v>35</v>
      </c>
      <c r="D435" s="133">
        <v>30</v>
      </c>
      <c r="E435" s="105" t="s">
        <v>19</v>
      </c>
      <c r="F435" s="105">
        <v>30</v>
      </c>
      <c r="G435" s="105">
        <v>30</v>
      </c>
      <c r="H435" s="177">
        <f>R56</f>
        <v>48</v>
      </c>
      <c r="I435" s="111">
        <f t="shared" si="22"/>
        <v>1.44</v>
      </c>
      <c r="J435" s="111">
        <v>1.91</v>
      </c>
      <c r="K435" s="111">
        <v>5.95</v>
      </c>
      <c r="L435" s="111">
        <v>11.41</v>
      </c>
      <c r="M435" s="163">
        <v>106.83</v>
      </c>
      <c r="N435" s="172"/>
      <c r="O435" s="98">
        <f>(J435+L435)*4+K435*9</f>
        <v>106.83</v>
      </c>
    </row>
    <row r="436" spans="2:15" ht="14.25">
      <c r="B436" s="3">
        <v>3</v>
      </c>
      <c r="C436" s="112" t="s">
        <v>209</v>
      </c>
      <c r="D436" s="113">
        <v>60</v>
      </c>
      <c r="E436" s="109" t="s">
        <v>210</v>
      </c>
      <c r="F436" s="109">
        <v>63</v>
      </c>
      <c r="G436" s="109">
        <v>60</v>
      </c>
      <c r="H436" s="177">
        <f>R23</f>
        <v>74</v>
      </c>
      <c r="I436" s="111">
        <f t="shared" si="22"/>
        <v>4.66</v>
      </c>
      <c r="J436" s="111">
        <v>0.36</v>
      </c>
      <c r="K436" s="111">
        <v>0</v>
      </c>
      <c r="L436" s="111">
        <v>0.66</v>
      </c>
      <c r="M436" s="111">
        <v>4.08</v>
      </c>
      <c r="N436" s="172"/>
      <c r="O436" s="98">
        <f>(J436+L436)*4+K436*9</f>
        <v>4.08</v>
      </c>
    </row>
    <row r="437" spans="2:15" ht="14.25">
      <c r="B437" s="3">
        <v>4</v>
      </c>
      <c r="C437" s="126" t="s">
        <v>13</v>
      </c>
      <c r="D437" s="109">
        <v>200</v>
      </c>
      <c r="E437" s="109" t="s">
        <v>14</v>
      </c>
      <c r="F437" s="109">
        <v>1</v>
      </c>
      <c r="G437" s="109">
        <v>1</v>
      </c>
      <c r="H437" s="109">
        <f>R54</f>
        <v>507</v>
      </c>
      <c r="I437" s="111">
        <f t="shared" si="22"/>
        <v>0.51</v>
      </c>
      <c r="J437" s="111"/>
      <c r="K437" s="111"/>
      <c r="L437" s="111"/>
      <c r="M437" s="111"/>
      <c r="N437" s="156"/>
      <c r="O437" s="98"/>
    </row>
    <row r="438" spans="2:15" ht="14.25">
      <c r="B438" s="3"/>
      <c r="C438" s="109"/>
      <c r="D438" s="109"/>
      <c r="E438" s="109" t="s">
        <v>2</v>
      </c>
      <c r="F438" s="109">
        <v>11</v>
      </c>
      <c r="G438" s="109">
        <v>11</v>
      </c>
      <c r="H438" s="109">
        <f>R46</f>
        <v>85</v>
      </c>
      <c r="I438" s="111">
        <f t="shared" si="22"/>
        <v>0.94</v>
      </c>
      <c r="J438" s="162">
        <v>0.2</v>
      </c>
      <c r="K438" s="162">
        <v>0</v>
      </c>
      <c r="L438" s="162">
        <v>14</v>
      </c>
      <c r="M438" s="162">
        <v>56.8</v>
      </c>
      <c r="N438" s="156">
        <v>376</v>
      </c>
      <c r="O438" s="98">
        <f>(J438+L438)*4+K438*9</f>
        <v>56.8</v>
      </c>
    </row>
    <row r="439" spans="2:15" ht="14.25">
      <c r="B439" s="3"/>
      <c r="C439" s="109"/>
      <c r="D439" s="109"/>
      <c r="E439" s="109" t="s">
        <v>149</v>
      </c>
      <c r="F439" s="109">
        <v>1</v>
      </c>
      <c r="G439" s="109">
        <v>1</v>
      </c>
      <c r="H439" s="109">
        <f>R50</f>
        <v>27</v>
      </c>
      <c r="I439" s="111">
        <f t="shared" si="22"/>
        <v>0.03</v>
      </c>
      <c r="J439" s="111"/>
      <c r="K439" s="111"/>
      <c r="L439" s="111"/>
      <c r="M439" s="111"/>
      <c r="N439" s="156"/>
      <c r="O439" s="98"/>
    </row>
    <row r="440" spans="2:15" ht="15">
      <c r="B440" s="3"/>
      <c r="C440" s="112"/>
      <c r="D440" s="200"/>
      <c r="E440" s="109"/>
      <c r="F440" s="109"/>
      <c r="G440" s="109"/>
      <c r="H440" s="109"/>
      <c r="I440" s="115">
        <f>SUM(I430:I439)</f>
        <v>19.22</v>
      </c>
      <c r="J440" s="115">
        <f>SUM(J430:J439)</f>
        <v>4.86</v>
      </c>
      <c r="K440" s="115">
        <f>SUM(K430:K439)</f>
        <v>12.65</v>
      </c>
      <c r="L440" s="115">
        <f>SUM(L430:L439)</f>
        <v>42.67</v>
      </c>
      <c r="M440" s="115">
        <f>SUM(M430:M439)</f>
        <v>303.97</v>
      </c>
      <c r="N440" s="159"/>
      <c r="O440" s="98">
        <f>(J440+L440)*4+K440*9</f>
        <v>303.97</v>
      </c>
    </row>
    <row r="441" spans="2:15" s="45" customFormat="1" ht="15">
      <c r="B441" s="19"/>
      <c r="C441" s="188" t="s">
        <v>5</v>
      </c>
      <c r="D441" s="122"/>
      <c r="E441" s="122"/>
      <c r="F441" s="120"/>
      <c r="G441" s="120"/>
      <c r="H441" s="120"/>
      <c r="I441" s="125"/>
      <c r="J441" s="125"/>
      <c r="K441" s="125"/>
      <c r="L441" s="125"/>
      <c r="M441" s="125"/>
      <c r="N441" s="156"/>
      <c r="O441" s="186"/>
    </row>
    <row r="442" spans="2:15" ht="14.25">
      <c r="B442" s="3">
        <v>1</v>
      </c>
      <c r="C442" s="135" t="s">
        <v>94</v>
      </c>
      <c r="D442" s="136" t="s">
        <v>180</v>
      </c>
      <c r="E442" s="136" t="s">
        <v>15</v>
      </c>
      <c r="F442" s="109">
        <v>40</v>
      </c>
      <c r="G442" s="109">
        <v>32</v>
      </c>
      <c r="H442" s="109">
        <f>R22</f>
        <v>51</v>
      </c>
      <c r="I442" s="111">
        <f aca="true" t="shared" si="23" ref="I442:I457">F442*H442/1000</f>
        <v>2.04</v>
      </c>
      <c r="J442" s="111"/>
      <c r="K442" s="111"/>
      <c r="L442" s="111"/>
      <c r="M442" s="111"/>
      <c r="N442" s="156"/>
      <c r="O442" s="98"/>
    </row>
    <row r="443" spans="2:15" ht="14.25">
      <c r="B443" s="3"/>
      <c r="C443" s="135" t="s">
        <v>95</v>
      </c>
      <c r="D443" s="136"/>
      <c r="E443" s="136" t="s">
        <v>17</v>
      </c>
      <c r="F443" s="109">
        <v>20</v>
      </c>
      <c r="G443" s="109">
        <v>16</v>
      </c>
      <c r="H443" s="109">
        <f>R19</f>
        <v>57</v>
      </c>
      <c r="I443" s="111">
        <f t="shared" si="23"/>
        <v>1.14</v>
      </c>
      <c r="J443" s="111"/>
      <c r="K443" s="111"/>
      <c r="L443" s="111"/>
      <c r="M443" s="111"/>
      <c r="N443" s="156"/>
      <c r="O443" s="98"/>
    </row>
    <row r="444" spans="2:15" ht="14.25">
      <c r="B444" s="3"/>
      <c r="C444" s="137"/>
      <c r="D444" s="136"/>
      <c r="E444" s="136" t="s">
        <v>7</v>
      </c>
      <c r="F444" s="109">
        <v>31</v>
      </c>
      <c r="G444" s="109">
        <v>19</v>
      </c>
      <c r="H444" s="109">
        <f>R18</f>
        <v>54</v>
      </c>
      <c r="I444" s="111">
        <f t="shared" si="23"/>
        <v>1.67</v>
      </c>
      <c r="J444" s="111"/>
      <c r="K444" s="111"/>
      <c r="L444" s="111"/>
      <c r="M444" s="111"/>
      <c r="N444" s="156"/>
      <c r="O444" s="98"/>
    </row>
    <row r="445" spans="2:15" ht="14.25">
      <c r="B445" s="3"/>
      <c r="C445" s="137"/>
      <c r="D445" s="136"/>
      <c r="E445" s="136" t="s">
        <v>8</v>
      </c>
      <c r="F445" s="109">
        <v>10</v>
      </c>
      <c r="G445" s="109">
        <v>8</v>
      </c>
      <c r="H445" s="109">
        <f>R21</f>
        <v>60</v>
      </c>
      <c r="I445" s="111">
        <f t="shared" si="23"/>
        <v>0.6</v>
      </c>
      <c r="J445" s="111"/>
      <c r="K445" s="111"/>
      <c r="L445" s="111"/>
      <c r="M445" s="111"/>
      <c r="N445" s="156"/>
      <c r="O445" s="98"/>
    </row>
    <row r="446" spans="2:15" ht="14.25">
      <c r="B446" s="3"/>
      <c r="C446" s="137"/>
      <c r="D446" s="136"/>
      <c r="E446" s="136" t="s">
        <v>6</v>
      </c>
      <c r="F446" s="109">
        <v>10</v>
      </c>
      <c r="G446" s="109">
        <v>9</v>
      </c>
      <c r="H446" s="109">
        <f>R20</f>
        <v>49</v>
      </c>
      <c r="I446" s="111">
        <f t="shared" si="23"/>
        <v>0.49</v>
      </c>
      <c r="J446" s="111"/>
      <c r="K446" s="111"/>
      <c r="L446" s="111"/>
      <c r="M446" s="111"/>
      <c r="N446" s="156"/>
      <c r="O446" s="98"/>
    </row>
    <row r="447" spans="2:15" ht="14.25">
      <c r="B447" s="3"/>
      <c r="C447" s="137"/>
      <c r="D447" s="136"/>
      <c r="E447" s="136" t="s">
        <v>27</v>
      </c>
      <c r="F447" s="109">
        <v>2</v>
      </c>
      <c r="G447" s="109">
        <v>2</v>
      </c>
      <c r="H447" s="109">
        <f>R26</f>
        <v>142</v>
      </c>
      <c r="I447" s="111">
        <f t="shared" si="23"/>
        <v>0.28</v>
      </c>
      <c r="J447" s="111"/>
      <c r="K447" s="111"/>
      <c r="L447" s="111"/>
      <c r="M447" s="111"/>
      <c r="N447" s="156"/>
      <c r="O447" s="98"/>
    </row>
    <row r="448" spans="2:15" ht="14.25">
      <c r="B448" s="3"/>
      <c r="C448" s="137"/>
      <c r="D448" s="136"/>
      <c r="E448" s="136" t="s">
        <v>26</v>
      </c>
      <c r="F448" s="109">
        <v>4</v>
      </c>
      <c r="G448" s="109">
        <v>4</v>
      </c>
      <c r="H448" s="177">
        <f>R33</f>
        <v>145</v>
      </c>
      <c r="I448" s="111">
        <f>F448*H448/1000</f>
        <v>0.58</v>
      </c>
      <c r="J448" s="111">
        <v>2.26</v>
      </c>
      <c r="K448" s="111">
        <v>4.18</v>
      </c>
      <c r="L448" s="111">
        <v>10.2</v>
      </c>
      <c r="M448" s="111">
        <v>87.46</v>
      </c>
      <c r="N448" s="156">
        <v>176</v>
      </c>
      <c r="O448" s="98">
        <f>(J448+L448)*4+K448*9</f>
        <v>87.46</v>
      </c>
    </row>
    <row r="449" spans="2:15" ht="14.25">
      <c r="B449" s="3"/>
      <c r="C449" s="137"/>
      <c r="D449" s="136"/>
      <c r="E449" s="136" t="s">
        <v>9</v>
      </c>
      <c r="F449" s="109">
        <v>10</v>
      </c>
      <c r="G449" s="109">
        <v>10</v>
      </c>
      <c r="H449" s="177">
        <f>R12</f>
        <v>199</v>
      </c>
      <c r="I449" s="111">
        <f>F449*H449/1000</f>
        <v>1.99</v>
      </c>
      <c r="J449" s="111">
        <v>0.21</v>
      </c>
      <c r="K449" s="111">
        <v>2.82</v>
      </c>
      <c r="L449" s="111">
        <v>0.31</v>
      </c>
      <c r="M449" s="111">
        <v>27.46</v>
      </c>
      <c r="N449" s="156"/>
      <c r="O449" s="98">
        <f>(J449+L449)*4+K449*9</f>
        <v>27.46</v>
      </c>
    </row>
    <row r="450" spans="2:15" ht="14.25">
      <c r="B450" s="3">
        <v>2</v>
      </c>
      <c r="C450" s="126" t="s">
        <v>142</v>
      </c>
      <c r="D450" s="109">
        <v>50</v>
      </c>
      <c r="E450" s="109" t="s">
        <v>143</v>
      </c>
      <c r="F450" s="109">
        <v>47</v>
      </c>
      <c r="G450" s="109">
        <v>47</v>
      </c>
      <c r="H450" s="177">
        <f>R6</f>
        <v>622</v>
      </c>
      <c r="I450" s="111">
        <f>F450*H450/1000</f>
        <v>29.23</v>
      </c>
      <c r="J450" s="111"/>
      <c r="K450" s="111"/>
      <c r="L450" s="111"/>
      <c r="M450" s="111"/>
      <c r="N450" s="156"/>
      <c r="O450" s="98"/>
    </row>
    <row r="451" spans="2:15" ht="14.25">
      <c r="B451" s="3"/>
      <c r="C451" s="126"/>
      <c r="D451" s="109"/>
      <c r="E451" s="105" t="s">
        <v>6</v>
      </c>
      <c r="F451" s="109">
        <v>11</v>
      </c>
      <c r="G451" s="109">
        <v>10</v>
      </c>
      <c r="H451" s="177">
        <f>R20</f>
        <v>49</v>
      </c>
      <c r="I451" s="111">
        <f t="shared" si="23"/>
        <v>0.54</v>
      </c>
      <c r="J451" s="111"/>
      <c r="K451" s="111"/>
      <c r="L451" s="111"/>
      <c r="M451" s="111"/>
      <c r="N451" s="156"/>
      <c r="O451" s="98"/>
    </row>
    <row r="452" spans="2:15" ht="14.25">
      <c r="B452" s="3"/>
      <c r="C452" s="126"/>
      <c r="D452" s="109"/>
      <c r="E452" s="105" t="s">
        <v>28</v>
      </c>
      <c r="F452" s="109">
        <v>4</v>
      </c>
      <c r="G452" s="109">
        <v>4</v>
      </c>
      <c r="H452" s="177">
        <f>R11</f>
        <v>467</v>
      </c>
      <c r="I452" s="111">
        <f t="shared" si="23"/>
        <v>1.87</v>
      </c>
      <c r="J452" s="111"/>
      <c r="K452" s="111"/>
      <c r="L452" s="111"/>
      <c r="M452" s="111"/>
      <c r="N452" s="156"/>
      <c r="O452" s="98"/>
    </row>
    <row r="453" spans="2:15" ht="14.25">
      <c r="B453" s="3"/>
      <c r="C453" s="126"/>
      <c r="D453" s="109"/>
      <c r="E453" s="105" t="s">
        <v>74</v>
      </c>
      <c r="F453" s="109">
        <v>4</v>
      </c>
      <c r="G453" s="109">
        <v>4</v>
      </c>
      <c r="H453" s="177">
        <f>R36</f>
        <v>40</v>
      </c>
      <c r="I453" s="111">
        <f t="shared" si="23"/>
        <v>0.16</v>
      </c>
      <c r="J453" s="192"/>
      <c r="K453" s="192"/>
      <c r="L453" s="192"/>
      <c r="M453" s="163"/>
      <c r="N453" s="156"/>
      <c r="O453" s="98"/>
    </row>
    <row r="454" spans="2:15" ht="14.25">
      <c r="B454" s="3"/>
      <c r="C454" s="126"/>
      <c r="D454" s="109"/>
      <c r="E454" s="105" t="s">
        <v>9</v>
      </c>
      <c r="F454" s="109">
        <v>8</v>
      </c>
      <c r="G454" s="109">
        <v>8</v>
      </c>
      <c r="H454" s="177">
        <f>R12</f>
        <v>199</v>
      </c>
      <c r="I454" s="111">
        <f>F454*H454/1000</f>
        <v>1.59</v>
      </c>
      <c r="J454" s="111">
        <v>14.05</v>
      </c>
      <c r="K454" s="111">
        <v>15.83</v>
      </c>
      <c r="L454" s="111">
        <v>3.71</v>
      </c>
      <c r="M454" s="111">
        <v>213.51</v>
      </c>
      <c r="N454" s="156">
        <v>278</v>
      </c>
      <c r="O454" s="98">
        <f>(J454+L454)*4+K454*9</f>
        <v>213.51</v>
      </c>
    </row>
    <row r="455" spans="2:15" ht="14.25">
      <c r="B455" s="3">
        <v>3</v>
      </c>
      <c r="C455" s="112" t="s">
        <v>164</v>
      </c>
      <c r="D455" s="113">
        <v>150</v>
      </c>
      <c r="E455" s="9" t="s">
        <v>165</v>
      </c>
      <c r="F455" s="9">
        <v>38</v>
      </c>
      <c r="G455" s="38">
        <v>38</v>
      </c>
      <c r="H455" s="177">
        <f>R40</f>
        <v>58</v>
      </c>
      <c r="I455" s="111">
        <f t="shared" si="23"/>
        <v>2.2</v>
      </c>
      <c r="J455" s="111"/>
      <c r="K455" s="111"/>
      <c r="L455" s="111"/>
      <c r="M455" s="111"/>
      <c r="N455" s="156"/>
      <c r="O455" s="98"/>
    </row>
    <row r="456" spans="2:15" ht="14.25">
      <c r="B456" s="3"/>
      <c r="C456" s="112"/>
      <c r="D456" s="113"/>
      <c r="E456" s="9" t="s">
        <v>28</v>
      </c>
      <c r="F456" s="9">
        <v>5</v>
      </c>
      <c r="G456" s="38">
        <v>5</v>
      </c>
      <c r="H456" s="109">
        <f>R11</f>
        <v>467</v>
      </c>
      <c r="I456" s="111">
        <f t="shared" si="23"/>
        <v>2.34</v>
      </c>
      <c r="J456" s="111">
        <v>3.94</v>
      </c>
      <c r="K456" s="111">
        <v>1.66</v>
      </c>
      <c r="L456" s="111">
        <v>25.05</v>
      </c>
      <c r="M456" s="111">
        <v>130.9</v>
      </c>
      <c r="N456" s="152">
        <v>744</v>
      </c>
      <c r="O456" s="98">
        <f>(J456+L456)*4+K456*9</f>
        <v>130.9</v>
      </c>
    </row>
    <row r="457" spans="2:15" ht="14.25">
      <c r="B457" s="3">
        <v>4</v>
      </c>
      <c r="C457" s="126" t="s">
        <v>35</v>
      </c>
      <c r="D457" s="109">
        <v>40</v>
      </c>
      <c r="E457" s="109" t="s">
        <v>19</v>
      </c>
      <c r="F457" s="120">
        <v>40</v>
      </c>
      <c r="G457" s="120">
        <v>40</v>
      </c>
      <c r="H457" s="120">
        <f>R56</f>
        <v>48</v>
      </c>
      <c r="I457" s="111">
        <f t="shared" si="23"/>
        <v>1.92</v>
      </c>
      <c r="J457" s="163">
        <v>2.45</v>
      </c>
      <c r="K457" s="163">
        <v>7.63</v>
      </c>
      <c r="L457" s="163">
        <v>14.62</v>
      </c>
      <c r="M457" s="163">
        <v>136.95</v>
      </c>
      <c r="N457" s="156"/>
      <c r="O457" s="98">
        <f>(J457+L457)*4+K457*9</f>
        <v>136.95</v>
      </c>
    </row>
    <row r="458" spans="2:15" ht="14.25">
      <c r="B458" s="3">
        <v>5</v>
      </c>
      <c r="C458" s="112" t="s">
        <v>25</v>
      </c>
      <c r="D458" s="109">
        <v>200</v>
      </c>
      <c r="E458" s="109" t="s">
        <v>20</v>
      </c>
      <c r="F458" s="109">
        <v>11</v>
      </c>
      <c r="G458" s="109">
        <v>11</v>
      </c>
      <c r="H458" s="109">
        <f>R29</f>
        <v>140</v>
      </c>
      <c r="I458" s="111">
        <f>H458*F458/1000</f>
        <v>1.54</v>
      </c>
      <c r="J458" s="111"/>
      <c r="K458" s="111"/>
      <c r="L458" s="111"/>
      <c r="M458" s="111"/>
      <c r="N458" s="156"/>
      <c r="O458" s="98"/>
    </row>
    <row r="459" spans="2:15" ht="14.25">
      <c r="B459" s="3"/>
      <c r="C459" s="112"/>
      <c r="D459" s="109"/>
      <c r="E459" s="109" t="s">
        <v>2</v>
      </c>
      <c r="F459" s="109">
        <v>10</v>
      </c>
      <c r="G459" s="109">
        <v>10</v>
      </c>
      <c r="H459" s="109">
        <f>R46</f>
        <v>85</v>
      </c>
      <c r="I459" s="111">
        <f>H459*F459/1000</f>
        <v>0.85</v>
      </c>
      <c r="J459" s="194">
        <v>0.04</v>
      </c>
      <c r="K459" s="194">
        <v>0</v>
      </c>
      <c r="L459" s="194">
        <v>24.76</v>
      </c>
      <c r="M459" s="163">
        <v>99.2</v>
      </c>
      <c r="N459" s="156">
        <v>349</v>
      </c>
      <c r="O459" s="98">
        <f>(J459+L459)*4+K459*9</f>
        <v>99.2</v>
      </c>
    </row>
    <row r="460" spans="2:15" ht="14.25">
      <c r="B460" s="3"/>
      <c r="C460" s="112"/>
      <c r="D460" s="109"/>
      <c r="E460" s="109" t="s">
        <v>98</v>
      </c>
      <c r="F460" s="109">
        <v>0.0005</v>
      </c>
      <c r="G460" s="109">
        <v>0.0005</v>
      </c>
      <c r="H460" s="109"/>
      <c r="I460" s="111"/>
      <c r="J460" s="111"/>
      <c r="K460" s="111"/>
      <c r="L460" s="111"/>
      <c r="M460" s="111"/>
      <c r="N460" s="156"/>
      <c r="O460" s="98"/>
    </row>
    <row r="461" spans="2:15" ht="14.25">
      <c r="B461" s="3"/>
      <c r="C461" s="126"/>
      <c r="D461" s="109"/>
      <c r="E461" s="109" t="s">
        <v>149</v>
      </c>
      <c r="F461" s="120">
        <v>1.5</v>
      </c>
      <c r="G461" s="120">
        <v>1.5</v>
      </c>
      <c r="H461" s="120">
        <f>R50</f>
        <v>27</v>
      </c>
      <c r="I461" s="111">
        <f>H461*F461/1000</f>
        <v>0.04</v>
      </c>
      <c r="J461" s="111"/>
      <c r="K461" s="111"/>
      <c r="L461" s="111"/>
      <c r="M461" s="111"/>
      <c r="N461" s="156"/>
      <c r="O461" s="98"/>
    </row>
    <row r="462" spans="2:15" ht="14.25">
      <c r="B462" s="3"/>
      <c r="C462" s="126"/>
      <c r="D462" s="109"/>
      <c r="E462" s="109" t="s">
        <v>93</v>
      </c>
      <c r="F462" s="120">
        <v>0.02</v>
      </c>
      <c r="G462" s="120">
        <v>0.02</v>
      </c>
      <c r="H462" s="120">
        <f>R55</f>
        <v>617</v>
      </c>
      <c r="I462" s="111">
        <f>H462*F462/1000</f>
        <v>0.01</v>
      </c>
      <c r="J462" s="111"/>
      <c r="K462" s="111"/>
      <c r="L462" s="111"/>
      <c r="M462" s="111"/>
      <c r="N462" s="156"/>
      <c r="O462" s="98"/>
    </row>
    <row r="463" spans="2:15" ht="15">
      <c r="B463" s="3"/>
      <c r="C463" s="112"/>
      <c r="D463" s="200"/>
      <c r="E463" s="109"/>
      <c r="F463" s="155"/>
      <c r="G463" s="155"/>
      <c r="H463" s="120"/>
      <c r="I463" s="115">
        <f>SUM(I442:I462)</f>
        <v>51.08</v>
      </c>
      <c r="J463" s="115">
        <f>SUM(J442:J462)</f>
        <v>22.95</v>
      </c>
      <c r="K463" s="115">
        <f>SUM(K442:K462)</f>
        <v>32.12</v>
      </c>
      <c r="L463" s="115">
        <f>SUM(L442:L462)</f>
        <v>78.65</v>
      </c>
      <c r="M463" s="115">
        <f>SUM(M442:M462)</f>
        <v>695.48</v>
      </c>
      <c r="N463" s="159"/>
      <c r="O463" s="98">
        <f>(J463+L463)*4+K463*9</f>
        <v>695.48</v>
      </c>
    </row>
    <row r="464" spans="2:15" ht="15">
      <c r="B464" s="3"/>
      <c r="C464" s="108" t="s">
        <v>99</v>
      </c>
      <c r="D464" s="109"/>
      <c r="E464" s="109"/>
      <c r="F464" s="155"/>
      <c r="G464" s="155"/>
      <c r="H464" s="120"/>
      <c r="I464" s="123"/>
      <c r="J464" s="123"/>
      <c r="K464" s="123"/>
      <c r="L464" s="123"/>
      <c r="M464" s="123"/>
      <c r="N464" s="159"/>
      <c r="O464" s="98"/>
    </row>
    <row r="465" spans="2:15" ht="14.25">
      <c r="B465" s="3">
        <v>1</v>
      </c>
      <c r="C465" s="153" t="s">
        <v>172</v>
      </c>
      <c r="D465" s="109" t="s">
        <v>234</v>
      </c>
      <c r="E465" s="109" t="s">
        <v>74</v>
      </c>
      <c r="F465" s="109">
        <v>48</v>
      </c>
      <c r="G465" s="109">
        <v>48</v>
      </c>
      <c r="H465" s="109">
        <f>R36</f>
        <v>40</v>
      </c>
      <c r="I465" s="111">
        <f>H465*F465/1000</f>
        <v>1.92</v>
      </c>
      <c r="J465" s="162"/>
      <c r="K465" s="162"/>
      <c r="L465" s="162"/>
      <c r="M465" s="163"/>
      <c r="N465" s="156"/>
      <c r="O465" s="98"/>
    </row>
    <row r="466" spans="2:15" ht="14.25">
      <c r="B466" s="3"/>
      <c r="C466" s="126" t="s">
        <v>173</v>
      </c>
      <c r="D466" s="109"/>
      <c r="E466" s="109" t="s">
        <v>10</v>
      </c>
      <c r="F466" s="109">
        <v>47</v>
      </c>
      <c r="G466" s="109">
        <v>47</v>
      </c>
      <c r="H466" s="109">
        <f>R10</f>
        <v>72</v>
      </c>
      <c r="I466" s="111">
        <f aca="true" t="shared" si="24" ref="I466:I471">H466*F466/1000</f>
        <v>3.38</v>
      </c>
      <c r="J466" s="162"/>
      <c r="K466" s="162"/>
      <c r="L466" s="162"/>
      <c r="M466" s="163"/>
      <c r="N466" s="156"/>
      <c r="O466" s="98"/>
    </row>
    <row r="467" spans="2:15" ht="15">
      <c r="B467" s="3"/>
      <c r="C467" s="116"/>
      <c r="D467" s="109"/>
      <c r="E467" s="109" t="s">
        <v>2</v>
      </c>
      <c r="F467" s="109">
        <v>0.5</v>
      </c>
      <c r="G467" s="109">
        <v>0.5</v>
      </c>
      <c r="H467" s="109">
        <f>R46</f>
        <v>85</v>
      </c>
      <c r="I467" s="111">
        <f t="shared" si="24"/>
        <v>0.04</v>
      </c>
      <c r="J467" s="162"/>
      <c r="K467" s="162"/>
      <c r="L467" s="162"/>
      <c r="M467" s="163"/>
      <c r="N467" s="156"/>
      <c r="O467" s="98"/>
    </row>
    <row r="468" spans="2:15" ht="15">
      <c r="B468" s="3"/>
      <c r="C468" s="116"/>
      <c r="D468" s="109"/>
      <c r="E468" s="109" t="s">
        <v>26</v>
      </c>
      <c r="F468" s="109">
        <v>6</v>
      </c>
      <c r="G468" s="109">
        <v>6</v>
      </c>
      <c r="H468" s="109">
        <f>R33</f>
        <v>145</v>
      </c>
      <c r="I468" s="111">
        <f t="shared" si="24"/>
        <v>0.87</v>
      </c>
      <c r="J468" s="162"/>
      <c r="K468" s="162"/>
      <c r="L468" s="162"/>
      <c r="M468" s="163"/>
      <c r="N468" s="156"/>
      <c r="O468" s="98"/>
    </row>
    <row r="469" spans="2:15" ht="14.25">
      <c r="B469" s="3"/>
      <c r="C469" s="126"/>
      <c r="D469" s="109"/>
      <c r="E469" s="109" t="s">
        <v>11</v>
      </c>
      <c r="F469" s="109">
        <v>0.11</v>
      </c>
      <c r="G469" s="109">
        <v>0.11</v>
      </c>
      <c r="H469" s="111">
        <f>R5</f>
        <v>13.5</v>
      </c>
      <c r="I469" s="111">
        <f>H469*F469</f>
        <v>1.49</v>
      </c>
      <c r="J469" s="162"/>
      <c r="K469" s="162"/>
      <c r="L469" s="162"/>
      <c r="M469" s="163"/>
      <c r="N469" s="156"/>
      <c r="O469" s="98"/>
    </row>
    <row r="470" spans="2:15" ht="14.25">
      <c r="B470" s="3"/>
      <c r="C470" s="126"/>
      <c r="D470" s="109"/>
      <c r="E470" s="109" t="s">
        <v>144</v>
      </c>
      <c r="F470" s="109">
        <v>0.35</v>
      </c>
      <c r="G470" s="109">
        <v>0.35</v>
      </c>
      <c r="H470" s="109">
        <f>R49</f>
        <v>377</v>
      </c>
      <c r="I470" s="111">
        <f t="shared" si="24"/>
        <v>0.13</v>
      </c>
      <c r="J470" s="125">
        <v>7.49</v>
      </c>
      <c r="K470" s="125">
        <v>6.81</v>
      </c>
      <c r="L470" s="125">
        <v>10.55</v>
      </c>
      <c r="M470" s="125">
        <v>133.45</v>
      </c>
      <c r="N470" s="156">
        <v>1085</v>
      </c>
      <c r="O470" s="98">
        <f>(J470+L470)*4+K470*9</f>
        <v>133.45</v>
      </c>
    </row>
    <row r="471" spans="2:15" ht="14.25">
      <c r="B471" s="3"/>
      <c r="C471" s="126"/>
      <c r="D471" s="109"/>
      <c r="E471" s="109" t="s">
        <v>174</v>
      </c>
      <c r="F471" s="109">
        <v>10</v>
      </c>
      <c r="G471" s="109">
        <v>10</v>
      </c>
      <c r="H471" s="109">
        <f>R31</f>
        <v>147</v>
      </c>
      <c r="I471" s="111">
        <f t="shared" si="24"/>
        <v>1.47</v>
      </c>
      <c r="J471" s="125">
        <v>0.06</v>
      </c>
      <c r="K471" s="125">
        <v>0</v>
      </c>
      <c r="L471" s="125">
        <v>12.04</v>
      </c>
      <c r="M471" s="125">
        <v>48.4</v>
      </c>
      <c r="N471" s="156"/>
      <c r="O471" s="98">
        <f>(J471+L471)*4+K471*9</f>
        <v>48.4</v>
      </c>
    </row>
    <row r="472" spans="2:15" ht="14.25">
      <c r="B472" s="3">
        <v>2</v>
      </c>
      <c r="C472" s="166" t="s">
        <v>132</v>
      </c>
      <c r="D472" s="132">
        <v>160</v>
      </c>
      <c r="E472" s="132" t="s">
        <v>133</v>
      </c>
      <c r="F472" s="167">
        <v>160</v>
      </c>
      <c r="G472" s="167">
        <v>160</v>
      </c>
      <c r="H472" s="109">
        <f>R32</f>
        <v>62</v>
      </c>
      <c r="I472" s="111">
        <f>H472*F472/1000</f>
        <v>9.92</v>
      </c>
      <c r="J472" s="125">
        <v>0.83</v>
      </c>
      <c r="K472" s="125">
        <v>0</v>
      </c>
      <c r="L472" s="125">
        <v>19.2</v>
      </c>
      <c r="M472" s="125">
        <v>80.12</v>
      </c>
      <c r="N472" s="156"/>
      <c r="O472" s="98">
        <f>(J472+L472)*4+K472*9</f>
        <v>80.12</v>
      </c>
    </row>
    <row r="473" spans="2:15" ht="15">
      <c r="B473" s="2"/>
      <c r="C473" s="118"/>
      <c r="D473" s="200"/>
      <c r="E473" s="109"/>
      <c r="F473" s="109"/>
      <c r="G473" s="109"/>
      <c r="H473" s="109"/>
      <c r="I473" s="115">
        <f>SUM(I465:I472)</f>
        <v>19.22</v>
      </c>
      <c r="J473" s="115">
        <f>SUM(J465:J472)</f>
        <v>8.38</v>
      </c>
      <c r="K473" s="115">
        <f>SUM(K465:K472)</f>
        <v>6.81</v>
      </c>
      <c r="L473" s="115">
        <f>SUM(L465:L472)</f>
        <v>41.79</v>
      </c>
      <c r="M473" s="115">
        <f>SUM(M465:M472)</f>
        <v>261.97</v>
      </c>
      <c r="N473" s="159"/>
      <c r="O473" s="98">
        <f>(J473+L473)*4+K473*9</f>
        <v>261.97</v>
      </c>
    </row>
    <row r="474" spans="2:15" ht="15">
      <c r="B474" s="271" t="s">
        <v>129</v>
      </c>
      <c r="C474" s="271"/>
      <c r="D474" s="271"/>
      <c r="E474" s="271"/>
      <c r="F474" s="271"/>
      <c r="G474" s="271"/>
      <c r="H474" s="271"/>
      <c r="I474" s="271"/>
      <c r="J474" s="115">
        <f>J440+J463+J473</f>
        <v>36.19</v>
      </c>
      <c r="K474" s="115">
        <f>K440+K463+K473</f>
        <v>51.58</v>
      </c>
      <c r="L474" s="115">
        <f>L440+L463+L473</f>
        <v>163.11</v>
      </c>
      <c r="M474" s="115">
        <f>M440+M463+M473</f>
        <v>1261.42</v>
      </c>
      <c r="N474" s="159"/>
      <c r="O474" s="98">
        <f>(J474+L474)*4+K474*9</f>
        <v>1261.42</v>
      </c>
    </row>
    <row r="475" spans="2:14" ht="14.25">
      <c r="B475" s="5"/>
      <c r="C475" s="157"/>
      <c r="D475" s="104"/>
      <c r="E475" s="104"/>
      <c r="F475" s="104"/>
      <c r="G475" s="104"/>
      <c r="H475" s="104"/>
      <c r="I475" s="146"/>
      <c r="J475" s="146"/>
      <c r="K475" s="146"/>
      <c r="L475" s="146"/>
      <c r="M475" s="146"/>
      <c r="N475" s="160"/>
    </row>
    <row r="476" spans="2:14" ht="14.25">
      <c r="B476" s="5"/>
      <c r="C476" s="157"/>
      <c r="D476" s="104"/>
      <c r="E476" s="104"/>
      <c r="F476" s="104"/>
      <c r="G476" s="104"/>
      <c r="H476" s="104"/>
      <c r="I476" s="146"/>
      <c r="J476" s="146"/>
      <c r="K476" s="146"/>
      <c r="L476" s="146"/>
      <c r="M476" s="146"/>
      <c r="N476" s="160"/>
    </row>
    <row r="477" spans="3:13" ht="14.25">
      <c r="C477" s="264" t="s">
        <v>66</v>
      </c>
      <c r="D477" s="264"/>
      <c r="E477" s="264"/>
      <c r="F477" s="264"/>
      <c r="G477" s="264"/>
      <c r="H477" s="264"/>
      <c r="I477" s="158"/>
      <c r="J477" s="158"/>
      <c r="K477" s="158"/>
      <c r="L477" s="158"/>
      <c r="M477" s="158"/>
    </row>
    <row r="478" spans="3:8" ht="14.25">
      <c r="C478" s="264" t="s">
        <v>151</v>
      </c>
      <c r="D478" s="264"/>
      <c r="E478" s="264"/>
      <c r="F478" s="264"/>
      <c r="G478" s="264"/>
      <c r="H478" s="264"/>
    </row>
    <row r="479" spans="9:13" ht="14.25">
      <c r="I479" s="158"/>
      <c r="J479" s="158"/>
      <c r="K479" s="158"/>
      <c r="L479" s="158"/>
      <c r="M479" s="158"/>
    </row>
    <row r="480" ht="14.25">
      <c r="C480" s="104"/>
    </row>
    <row r="494" ht="14.25" customHeight="1"/>
    <row r="495" ht="14.25" customHeight="1"/>
    <row r="496" ht="14.25" customHeight="1"/>
  </sheetData>
  <sheetProtection/>
  <mergeCells count="83">
    <mergeCell ref="D2:H2"/>
    <mergeCell ref="K102:K103"/>
    <mergeCell ref="B297:I297"/>
    <mergeCell ref="B344:I344"/>
    <mergeCell ref="B383:I383"/>
    <mergeCell ref="B248:B249"/>
    <mergeCell ref="B102:B103"/>
    <mergeCell ref="E102:E103"/>
    <mergeCell ref="J102:J103"/>
    <mergeCell ref="K248:K249"/>
    <mergeCell ref="B425:I425"/>
    <mergeCell ref="B148:I148"/>
    <mergeCell ref="B386:B387"/>
    <mergeCell ref="E386:E387"/>
    <mergeCell ref="B4:B5"/>
    <mergeCell ref="E4:E5"/>
    <mergeCell ref="J4:J5"/>
    <mergeCell ref="B55:I55"/>
    <mergeCell ref="E248:E249"/>
    <mergeCell ref="J248:J249"/>
    <mergeCell ref="B99:I99"/>
    <mergeCell ref="B194:I194"/>
    <mergeCell ref="B245:I245"/>
    <mergeCell ref="K4:K5"/>
    <mergeCell ref="L4:L5"/>
    <mergeCell ref="M4:M5"/>
    <mergeCell ref="N4:N5"/>
    <mergeCell ref="B59:B60"/>
    <mergeCell ref="E59:E60"/>
    <mergeCell ref="J59:J60"/>
    <mergeCell ref="K59:K60"/>
    <mergeCell ref="L59:L60"/>
    <mergeCell ref="M59:M60"/>
    <mergeCell ref="N59:N60"/>
    <mergeCell ref="L102:L103"/>
    <mergeCell ref="M102:M103"/>
    <mergeCell ref="N102:N103"/>
    <mergeCell ref="B151:B152"/>
    <mergeCell ref="E151:E152"/>
    <mergeCell ref="J151:J152"/>
    <mergeCell ref="K151:K152"/>
    <mergeCell ref="L151:L152"/>
    <mergeCell ref="M151:M152"/>
    <mergeCell ref="N151:N152"/>
    <mergeCell ref="N197:N198"/>
    <mergeCell ref="B197:B198"/>
    <mergeCell ref="E197:E198"/>
    <mergeCell ref="J197:J198"/>
    <mergeCell ref="K197:K198"/>
    <mergeCell ref="L197:L198"/>
    <mergeCell ref="M197:M198"/>
    <mergeCell ref="L248:L249"/>
    <mergeCell ref="M248:M249"/>
    <mergeCell ref="N248:N249"/>
    <mergeCell ref="B300:B301"/>
    <mergeCell ref="E300:E301"/>
    <mergeCell ref="J300:J301"/>
    <mergeCell ref="K300:K301"/>
    <mergeCell ref="L300:L301"/>
    <mergeCell ref="M300:M301"/>
    <mergeCell ref="N386:N387"/>
    <mergeCell ref="N428:N429"/>
    <mergeCell ref="N300:N301"/>
    <mergeCell ref="B347:B348"/>
    <mergeCell ref="E347:E348"/>
    <mergeCell ref="J347:J348"/>
    <mergeCell ref="K347:K348"/>
    <mergeCell ref="L347:L348"/>
    <mergeCell ref="M347:M348"/>
    <mergeCell ref="N347:N348"/>
    <mergeCell ref="L428:L429"/>
    <mergeCell ref="M428:M429"/>
    <mergeCell ref="J386:J387"/>
    <mergeCell ref="K386:K387"/>
    <mergeCell ref="L386:L387"/>
    <mergeCell ref="M386:M387"/>
    <mergeCell ref="C477:H477"/>
    <mergeCell ref="C478:H478"/>
    <mergeCell ref="B428:B429"/>
    <mergeCell ref="E428:E429"/>
    <mergeCell ref="J428:J429"/>
    <mergeCell ref="K428:K429"/>
    <mergeCell ref="B474:I474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62" r:id="rId1"/>
  <rowBreaks count="7" manualBreakCount="7">
    <brk id="56" min="1" max="13" man="1"/>
    <brk id="100" max="255" man="1"/>
    <brk id="148" min="1" max="13" man="1"/>
    <brk id="246" min="1" max="13" man="1"/>
    <brk id="344" min="1" max="13" man="1"/>
    <brk id="383" min="1" max="13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workbookViewId="0" topLeftCell="A1">
      <selection activeCell="B2" sqref="B2"/>
    </sheetView>
  </sheetViews>
  <sheetFormatPr defaultColWidth="9.00390625" defaultRowHeight="12.75"/>
  <cols>
    <col min="1" max="1" width="3.625" style="29" bestFit="1" customWidth="1"/>
    <col min="2" max="2" width="34.00390625" style="29" customWidth="1"/>
    <col min="3" max="3" width="4.75390625" style="29" bestFit="1" customWidth="1"/>
    <col min="4" max="4" width="11.125" style="29" customWidth="1"/>
    <col min="5" max="5" width="8.125" style="231" customWidth="1"/>
    <col min="6" max="6" width="8.125" style="29" customWidth="1"/>
    <col min="7" max="7" width="8.125" style="231" customWidth="1"/>
    <col min="8" max="8" width="8.125" style="29" customWidth="1"/>
    <col min="9" max="9" width="8.125" style="231" customWidth="1"/>
    <col min="10" max="10" width="8.125" style="29" customWidth="1"/>
    <col min="11" max="11" width="7.75390625" style="231" customWidth="1"/>
    <col min="12" max="12" width="7.75390625" style="29" customWidth="1"/>
    <col min="13" max="13" width="8.75390625" style="239" customWidth="1"/>
    <col min="14" max="14" width="8.75390625" style="29" customWidth="1"/>
    <col min="15" max="15" width="9.125" style="231" customWidth="1"/>
    <col min="16" max="16" width="9.125" style="29" customWidth="1"/>
    <col min="17" max="17" width="9.125" style="231" customWidth="1"/>
    <col min="18" max="18" width="9.125" style="29" customWidth="1"/>
    <col min="19" max="19" width="9.125" style="231" customWidth="1"/>
    <col min="20" max="20" width="9.125" style="29" customWidth="1"/>
    <col min="21" max="21" width="9.125" style="231" customWidth="1"/>
    <col min="22" max="22" width="9.125" style="29" customWidth="1"/>
    <col min="23" max="23" width="9.125" style="231" customWidth="1"/>
    <col min="24" max="24" width="9.125" style="29" customWidth="1"/>
    <col min="25" max="25" width="10.75390625" style="29" bestFit="1" customWidth="1"/>
    <col min="26" max="26" width="10.75390625" style="29" customWidth="1"/>
    <col min="27" max="27" width="9.125" style="29" customWidth="1"/>
    <col min="28" max="28" width="11.75390625" style="29" customWidth="1"/>
    <col min="29" max="16384" width="9.125" style="29" customWidth="1"/>
  </cols>
  <sheetData>
    <row r="1" spans="2:14" ht="12.75">
      <c r="B1" s="91" t="s">
        <v>0</v>
      </c>
      <c r="H1" s="90"/>
      <c r="J1" s="44"/>
      <c r="L1" s="44"/>
      <c r="M1" s="231"/>
      <c r="N1" s="44"/>
    </row>
    <row r="2" spans="1:26" ht="27" customHeight="1">
      <c r="A2" s="36" t="s">
        <v>3</v>
      </c>
      <c r="B2" s="36" t="s">
        <v>53</v>
      </c>
      <c r="C2" s="36" t="s">
        <v>152</v>
      </c>
      <c r="D2" s="36" t="s">
        <v>54</v>
      </c>
      <c r="E2" s="230">
        <v>1</v>
      </c>
      <c r="F2" s="36" t="s">
        <v>55</v>
      </c>
      <c r="G2" s="230">
        <v>2</v>
      </c>
      <c r="H2" s="36" t="s">
        <v>55</v>
      </c>
      <c r="I2" s="230">
        <v>3</v>
      </c>
      <c r="J2" s="36" t="s">
        <v>55</v>
      </c>
      <c r="K2" s="230">
        <v>4</v>
      </c>
      <c r="L2" s="36" t="s">
        <v>55</v>
      </c>
      <c r="M2" s="237">
        <v>5</v>
      </c>
      <c r="N2" s="36" t="s">
        <v>55</v>
      </c>
      <c r="O2" s="230">
        <v>1</v>
      </c>
      <c r="P2" s="36" t="s">
        <v>55</v>
      </c>
      <c r="Q2" s="230">
        <v>2</v>
      </c>
      <c r="R2" s="36" t="s">
        <v>55</v>
      </c>
      <c r="S2" s="230">
        <v>3</v>
      </c>
      <c r="T2" s="36" t="s">
        <v>55</v>
      </c>
      <c r="U2" s="230">
        <v>4</v>
      </c>
      <c r="V2" s="36" t="s">
        <v>55</v>
      </c>
      <c r="W2" s="230">
        <v>5</v>
      </c>
      <c r="X2" s="36" t="s">
        <v>55</v>
      </c>
      <c r="Y2" s="36" t="s">
        <v>57</v>
      </c>
      <c r="Z2" s="36" t="s">
        <v>55</v>
      </c>
    </row>
    <row r="3" spans="1:27" ht="15">
      <c r="A3" s="33">
        <v>1</v>
      </c>
      <c r="B3" s="31" t="str">
        <f>'март-май 2024'!P5</f>
        <v>Яйцо (1 сорт)</v>
      </c>
      <c r="C3" s="32" t="str">
        <f>'март-май 2024'!Q5</f>
        <v>шт</v>
      </c>
      <c r="D3" s="46">
        <f>'март-май 2024'!R5</f>
        <v>13.5</v>
      </c>
      <c r="E3" s="232">
        <v>0.1</v>
      </c>
      <c r="F3" s="30">
        <f>E3*D3</f>
        <v>1.35</v>
      </c>
      <c r="G3" s="232">
        <v>1</v>
      </c>
      <c r="H3" s="30">
        <f>G3*D3</f>
        <v>13.5</v>
      </c>
      <c r="I3" s="232">
        <v>0.1</v>
      </c>
      <c r="J3" s="30">
        <f>I3*D3</f>
        <v>1.35</v>
      </c>
      <c r="K3" s="232">
        <v>0.2</v>
      </c>
      <c r="L3" s="30">
        <f>K3*D3</f>
        <v>2.7</v>
      </c>
      <c r="M3" s="238">
        <v>0.12</v>
      </c>
      <c r="N3" s="30">
        <f>D3*M3</f>
        <v>1.62</v>
      </c>
      <c r="O3" s="232">
        <v>0.12</v>
      </c>
      <c r="P3" s="30">
        <f>O3*D3</f>
        <v>1.62</v>
      </c>
      <c r="Q3" s="232">
        <v>0.07</v>
      </c>
      <c r="R3" s="30">
        <f>D3*Q3</f>
        <v>0.95</v>
      </c>
      <c r="S3" s="232">
        <v>1</v>
      </c>
      <c r="T3" s="30">
        <f>D3*S3</f>
        <v>13.5</v>
      </c>
      <c r="U3" s="232"/>
      <c r="V3" s="30">
        <f>U3*D3</f>
        <v>0</v>
      </c>
      <c r="W3" s="232"/>
      <c r="X3" s="30">
        <f>D3*W3</f>
        <v>0</v>
      </c>
      <c r="Y3" s="37">
        <f>(E3+G3+I3+K3+M3+O3+Q3+S3+U3+W3)</f>
        <v>2.71</v>
      </c>
      <c r="Z3" s="30">
        <f>Y3*D3</f>
        <v>36.59</v>
      </c>
      <c r="AA3" s="29">
        <f>Y3*5</f>
        <v>13.55</v>
      </c>
    </row>
    <row r="4" spans="1:27" ht="30">
      <c r="A4" s="33">
        <v>2</v>
      </c>
      <c r="B4" s="31" t="str">
        <f>'март-май 2024'!P6</f>
        <v>Мясо говядины без кости (1 категории)</v>
      </c>
      <c r="C4" s="32" t="str">
        <f>'март-май 2024'!Q6</f>
        <v>кг</v>
      </c>
      <c r="D4" s="46">
        <f>'март-май 2024'!R6</f>
        <v>622</v>
      </c>
      <c r="E4" s="232"/>
      <c r="F4" s="30">
        <f aca="true" t="shared" si="0" ref="F4:F55">D4*E4/1000</f>
        <v>0</v>
      </c>
      <c r="G4" s="232"/>
      <c r="H4" s="30">
        <f>G4*D4/1000</f>
        <v>0</v>
      </c>
      <c r="I4" s="232"/>
      <c r="J4" s="30">
        <f>I4*D4/1000</f>
        <v>0</v>
      </c>
      <c r="K4" s="232"/>
      <c r="L4" s="30">
        <f>K4*D4/1000</f>
        <v>0</v>
      </c>
      <c r="M4" s="238"/>
      <c r="N4" s="30">
        <f>D4*M4/1000</f>
        <v>0</v>
      </c>
      <c r="O4" s="232"/>
      <c r="P4" s="30">
        <f aca="true" t="shared" si="1" ref="P4:P55">D4*O4/1000</f>
        <v>0</v>
      </c>
      <c r="Q4" s="232"/>
      <c r="R4" s="30">
        <f aca="true" t="shared" si="2" ref="R4:R55">D4*Q4/1000</f>
        <v>0</v>
      </c>
      <c r="S4" s="232"/>
      <c r="T4" s="30">
        <f aca="true" t="shared" si="3" ref="T4:T55">D4*S4/1000</f>
        <v>0</v>
      </c>
      <c r="U4" s="232"/>
      <c r="V4" s="30">
        <f aca="true" t="shared" si="4" ref="V4:V55">U4*D4/1000</f>
        <v>0</v>
      </c>
      <c r="W4" s="232"/>
      <c r="X4" s="30">
        <f aca="true" t="shared" si="5" ref="X4:X55">D4*W4/1000</f>
        <v>0</v>
      </c>
      <c r="Y4" s="37">
        <f aca="true" t="shared" si="6" ref="Y4:Y56">(E4+G4+I4+K4+M4+O4+Q4+S4+U4+W4)</f>
        <v>0</v>
      </c>
      <c r="Z4" s="30">
        <f aca="true" t="shared" si="7" ref="Z4:Z35">Y4*D4/1000</f>
        <v>0</v>
      </c>
      <c r="AA4" s="29">
        <f aca="true" t="shared" si="8" ref="AA4:AA55">Y4*5</f>
        <v>0</v>
      </c>
    </row>
    <row r="5" spans="1:27" ht="15">
      <c r="A5" s="33">
        <v>3</v>
      </c>
      <c r="B5" s="31" t="str">
        <f>'март-май 2024'!P7</f>
        <v>Мясо птицы (1 категории)</v>
      </c>
      <c r="C5" s="32" t="str">
        <f>'март-май 2024'!Q7</f>
        <v>кг</v>
      </c>
      <c r="D5" s="46">
        <f>'март-май 2024'!R7</f>
        <v>292</v>
      </c>
      <c r="E5" s="232"/>
      <c r="F5" s="30">
        <f t="shared" si="0"/>
        <v>0</v>
      </c>
      <c r="G5" s="232"/>
      <c r="H5" s="30">
        <f aca="true" t="shared" si="9" ref="H5:H55">G5*D5/1000</f>
        <v>0</v>
      </c>
      <c r="I5" s="232">
        <v>25</v>
      </c>
      <c r="J5" s="30">
        <f aca="true" t="shared" si="10" ref="J5:J55">I5*D5/1000</f>
        <v>7.3</v>
      </c>
      <c r="K5" s="232"/>
      <c r="L5" s="30">
        <f aca="true" t="shared" si="11" ref="L5:L55">K5*D5/1000</f>
        <v>0</v>
      </c>
      <c r="M5" s="238"/>
      <c r="N5" s="30">
        <f aca="true" t="shared" si="12" ref="N5:N55">D5*M5/1000</f>
        <v>0</v>
      </c>
      <c r="O5" s="232"/>
      <c r="P5" s="30">
        <f t="shared" si="1"/>
        <v>0</v>
      </c>
      <c r="Q5" s="232"/>
      <c r="R5" s="30">
        <f t="shared" si="2"/>
        <v>0</v>
      </c>
      <c r="S5" s="232"/>
      <c r="T5" s="30">
        <f t="shared" si="3"/>
        <v>0</v>
      </c>
      <c r="U5" s="232"/>
      <c r="V5" s="30">
        <f t="shared" si="4"/>
        <v>0</v>
      </c>
      <c r="W5" s="232"/>
      <c r="X5" s="30">
        <f t="shared" si="5"/>
        <v>0</v>
      </c>
      <c r="Y5" s="37">
        <f t="shared" si="6"/>
        <v>25</v>
      </c>
      <c r="Z5" s="30">
        <f t="shared" si="7"/>
        <v>7.3</v>
      </c>
      <c r="AA5" s="29">
        <f t="shared" si="8"/>
        <v>125</v>
      </c>
    </row>
    <row r="6" spans="1:27" ht="15" customHeight="1">
      <c r="A6" s="33">
        <v>4</v>
      </c>
      <c r="B6" s="31">
        <f>'март-май 2024'!P8</f>
        <v>0</v>
      </c>
      <c r="C6" s="32">
        <f>'март-май 2024'!Q8</f>
        <v>0</v>
      </c>
      <c r="D6" s="46">
        <f>'март-май 2024'!R8</f>
        <v>0</v>
      </c>
      <c r="E6" s="232"/>
      <c r="F6" s="30">
        <f t="shared" si="0"/>
        <v>0</v>
      </c>
      <c r="G6" s="232"/>
      <c r="H6" s="30">
        <f t="shared" si="9"/>
        <v>0</v>
      </c>
      <c r="I6" s="232"/>
      <c r="J6" s="30">
        <f t="shared" si="10"/>
        <v>0</v>
      </c>
      <c r="K6" s="232"/>
      <c r="L6" s="30">
        <f t="shared" si="11"/>
        <v>0</v>
      </c>
      <c r="M6" s="238"/>
      <c r="N6" s="30">
        <f t="shared" si="12"/>
        <v>0</v>
      </c>
      <c r="O6" s="232"/>
      <c r="P6" s="30">
        <f t="shared" si="1"/>
        <v>0</v>
      </c>
      <c r="Q6" s="232"/>
      <c r="R6" s="30">
        <f t="shared" si="2"/>
        <v>0</v>
      </c>
      <c r="S6" s="232"/>
      <c r="T6" s="30">
        <f t="shared" si="3"/>
        <v>0</v>
      </c>
      <c r="U6" s="232"/>
      <c r="V6" s="30">
        <f t="shared" si="4"/>
        <v>0</v>
      </c>
      <c r="W6" s="232"/>
      <c r="X6" s="30">
        <f t="shared" si="5"/>
        <v>0</v>
      </c>
      <c r="Y6" s="37">
        <f t="shared" si="6"/>
        <v>0</v>
      </c>
      <c r="Z6" s="30">
        <f t="shared" si="7"/>
        <v>0</v>
      </c>
      <c r="AA6" s="29">
        <f t="shared" si="8"/>
        <v>0</v>
      </c>
    </row>
    <row r="7" spans="1:27" ht="15">
      <c r="A7" s="33">
        <v>5</v>
      </c>
      <c r="B7" s="31">
        <f>'март-май 2024'!P9</f>
        <v>0</v>
      </c>
      <c r="C7" s="32">
        <f>'март-май 2024'!Q9</f>
        <v>0</v>
      </c>
      <c r="D7" s="46">
        <f>'март-май 2024'!R9</f>
        <v>0</v>
      </c>
      <c r="E7" s="232"/>
      <c r="F7" s="30">
        <f t="shared" si="0"/>
        <v>0</v>
      </c>
      <c r="G7" s="232"/>
      <c r="H7" s="30">
        <f t="shared" si="9"/>
        <v>0</v>
      </c>
      <c r="I7" s="232"/>
      <c r="J7" s="30">
        <f t="shared" si="10"/>
        <v>0</v>
      </c>
      <c r="K7" s="232"/>
      <c r="L7" s="30">
        <f t="shared" si="11"/>
        <v>0</v>
      </c>
      <c r="M7" s="238"/>
      <c r="N7" s="30">
        <f t="shared" si="12"/>
        <v>0</v>
      </c>
      <c r="O7" s="232"/>
      <c r="P7" s="30">
        <f t="shared" si="1"/>
        <v>0</v>
      </c>
      <c r="Q7" s="232"/>
      <c r="R7" s="30">
        <f t="shared" si="2"/>
        <v>0</v>
      </c>
      <c r="S7" s="232"/>
      <c r="T7" s="30">
        <f t="shared" si="3"/>
        <v>0</v>
      </c>
      <c r="U7" s="232"/>
      <c r="V7" s="30">
        <f t="shared" si="4"/>
        <v>0</v>
      </c>
      <c r="W7" s="232"/>
      <c r="X7" s="30">
        <f t="shared" si="5"/>
        <v>0</v>
      </c>
      <c r="Y7" s="37">
        <f t="shared" si="6"/>
        <v>0</v>
      </c>
      <c r="Z7" s="30">
        <f t="shared" si="7"/>
        <v>0</v>
      </c>
      <c r="AA7" s="29">
        <f t="shared" si="8"/>
        <v>0</v>
      </c>
    </row>
    <row r="8" spans="1:27" ht="14.25" customHeight="1">
      <c r="A8" s="33">
        <v>6</v>
      </c>
      <c r="B8" s="31" t="str">
        <f>'март-май 2024'!P10</f>
        <v>Молоко пастеризованное (2,5%)</v>
      </c>
      <c r="C8" s="32" t="str">
        <f>'март-май 2024'!Q10</f>
        <v>л</v>
      </c>
      <c r="D8" s="46">
        <f>'март-май 2024'!R10</f>
        <v>72</v>
      </c>
      <c r="E8" s="232">
        <f>120+14</f>
        <v>134</v>
      </c>
      <c r="F8" s="30">
        <f t="shared" si="0"/>
        <v>9.65</v>
      </c>
      <c r="G8" s="232">
        <v>16</v>
      </c>
      <c r="H8" s="30">
        <f t="shared" si="9"/>
        <v>1.15</v>
      </c>
      <c r="I8" s="232"/>
      <c r="J8" s="30">
        <f t="shared" si="10"/>
        <v>0</v>
      </c>
      <c r="K8" s="232"/>
      <c r="L8" s="30">
        <f t="shared" si="11"/>
        <v>0</v>
      </c>
      <c r="M8" s="238">
        <f>120+10</f>
        <v>130</v>
      </c>
      <c r="N8" s="30">
        <f t="shared" si="12"/>
        <v>9.36</v>
      </c>
      <c r="O8" s="232">
        <f>120+4</f>
        <v>124</v>
      </c>
      <c r="P8" s="30">
        <f t="shared" si="1"/>
        <v>8.93</v>
      </c>
      <c r="Q8" s="232"/>
      <c r="R8" s="30">
        <f t="shared" si="2"/>
        <v>0</v>
      </c>
      <c r="S8" s="232"/>
      <c r="T8" s="30">
        <f t="shared" si="3"/>
        <v>0</v>
      </c>
      <c r="U8" s="232"/>
      <c r="V8" s="30">
        <f t="shared" si="4"/>
        <v>0</v>
      </c>
      <c r="W8" s="232"/>
      <c r="X8" s="30">
        <f t="shared" si="5"/>
        <v>0</v>
      </c>
      <c r="Y8" s="37">
        <f t="shared" si="6"/>
        <v>404</v>
      </c>
      <c r="Z8" s="30">
        <f t="shared" si="7"/>
        <v>29.09</v>
      </c>
      <c r="AA8" s="29">
        <f t="shared" si="8"/>
        <v>2020</v>
      </c>
    </row>
    <row r="9" spans="1:27" ht="15">
      <c r="A9" s="33">
        <v>7</v>
      </c>
      <c r="B9" s="31" t="str">
        <f>'март-май 2024'!P11</f>
        <v>Масло сливочное (72,5%)</v>
      </c>
      <c r="C9" s="32" t="str">
        <f>'март-май 2024'!Q11</f>
        <v>кг</v>
      </c>
      <c r="D9" s="46">
        <f>'март-май 2024'!R11</f>
        <v>467</v>
      </c>
      <c r="E9" s="232">
        <f>4+1</f>
        <v>5</v>
      </c>
      <c r="F9" s="30">
        <f t="shared" si="0"/>
        <v>2.34</v>
      </c>
      <c r="G9" s="232">
        <v>4</v>
      </c>
      <c r="H9" s="30">
        <f t="shared" si="9"/>
        <v>1.87</v>
      </c>
      <c r="I9" s="232"/>
      <c r="J9" s="30">
        <f t="shared" si="10"/>
        <v>0</v>
      </c>
      <c r="K9" s="232">
        <v>2</v>
      </c>
      <c r="L9" s="30">
        <f t="shared" si="11"/>
        <v>0.93</v>
      </c>
      <c r="M9" s="238">
        <v>5</v>
      </c>
      <c r="N9" s="30">
        <f t="shared" si="12"/>
        <v>2.34</v>
      </c>
      <c r="O9" s="232">
        <f>5+3+1</f>
        <v>9</v>
      </c>
      <c r="P9" s="30">
        <f t="shared" si="1"/>
        <v>4.2</v>
      </c>
      <c r="Q9" s="232">
        <v>3</v>
      </c>
      <c r="R9" s="30">
        <f t="shared" si="2"/>
        <v>1.4</v>
      </c>
      <c r="S9" s="232"/>
      <c r="T9" s="30">
        <f t="shared" si="3"/>
        <v>0</v>
      </c>
      <c r="U9" s="232">
        <v>6</v>
      </c>
      <c r="V9" s="30">
        <f t="shared" si="4"/>
        <v>2.8</v>
      </c>
      <c r="W9" s="232">
        <v>8</v>
      </c>
      <c r="X9" s="30">
        <f t="shared" si="5"/>
        <v>3.74</v>
      </c>
      <c r="Y9" s="37">
        <f t="shared" si="6"/>
        <v>42</v>
      </c>
      <c r="Z9" s="30">
        <f t="shared" si="7"/>
        <v>19.61</v>
      </c>
      <c r="AA9" s="29">
        <f t="shared" si="8"/>
        <v>210</v>
      </c>
    </row>
    <row r="10" spans="1:27" ht="15">
      <c r="A10" s="33">
        <v>8</v>
      </c>
      <c r="B10" s="31" t="str">
        <f>'март-май 2024'!P12</f>
        <v>Сметана (15%)</v>
      </c>
      <c r="C10" s="32" t="str">
        <f>'март-май 2024'!Q12</f>
        <v>кг</v>
      </c>
      <c r="D10" s="46">
        <f>'март-май 2024'!R12</f>
        <v>199</v>
      </c>
      <c r="E10" s="232"/>
      <c r="F10" s="30">
        <f t="shared" si="0"/>
        <v>0</v>
      </c>
      <c r="G10" s="232"/>
      <c r="H10" s="30">
        <f t="shared" si="9"/>
        <v>0</v>
      </c>
      <c r="I10" s="232">
        <v>10</v>
      </c>
      <c r="J10" s="30">
        <f t="shared" si="10"/>
        <v>1.99</v>
      </c>
      <c r="K10" s="232">
        <v>2</v>
      </c>
      <c r="L10" s="30">
        <f t="shared" si="11"/>
        <v>0.4</v>
      </c>
      <c r="M10" s="238"/>
      <c r="N10" s="30">
        <f t="shared" si="12"/>
        <v>0</v>
      </c>
      <c r="O10" s="232"/>
      <c r="P10" s="30">
        <f t="shared" si="1"/>
        <v>0</v>
      </c>
      <c r="Q10" s="232">
        <v>2.5</v>
      </c>
      <c r="R10" s="30">
        <f t="shared" si="2"/>
        <v>0.5</v>
      </c>
      <c r="S10" s="232"/>
      <c r="T10" s="30">
        <f t="shared" si="3"/>
        <v>0</v>
      </c>
      <c r="U10" s="232"/>
      <c r="V10" s="30">
        <f t="shared" si="4"/>
        <v>0</v>
      </c>
      <c r="W10" s="232"/>
      <c r="X10" s="30">
        <f t="shared" si="5"/>
        <v>0</v>
      </c>
      <c r="Y10" s="37">
        <f t="shared" si="6"/>
        <v>14.5</v>
      </c>
      <c r="Z10" s="30">
        <f t="shared" si="7"/>
        <v>2.89</v>
      </c>
      <c r="AA10" s="29">
        <f t="shared" si="8"/>
        <v>72.5</v>
      </c>
    </row>
    <row r="11" spans="1:27" ht="15">
      <c r="A11" s="33">
        <v>9</v>
      </c>
      <c r="B11" s="31" t="str">
        <f>'март-май 2024'!P14</f>
        <v>Творог (5%)</v>
      </c>
      <c r="C11" s="32" t="str">
        <f>'март-май 2024'!Q14</f>
        <v>кг</v>
      </c>
      <c r="D11" s="46">
        <f>'март-май 2024'!R14</f>
        <v>217</v>
      </c>
      <c r="E11" s="232"/>
      <c r="F11" s="30">
        <f t="shared" si="0"/>
        <v>0</v>
      </c>
      <c r="G11" s="232"/>
      <c r="H11" s="30">
        <f t="shared" si="9"/>
        <v>0</v>
      </c>
      <c r="I11" s="232"/>
      <c r="J11" s="30">
        <f t="shared" si="10"/>
        <v>0</v>
      </c>
      <c r="K11" s="232">
        <v>38</v>
      </c>
      <c r="L11" s="30">
        <f t="shared" si="11"/>
        <v>8.25</v>
      </c>
      <c r="M11" s="238"/>
      <c r="N11" s="30">
        <f t="shared" si="12"/>
        <v>0</v>
      </c>
      <c r="O11" s="232"/>
      <c r="P11" s="30">
        <f t="shared" si="1"/>
        <v>0</v>
      </c>
      <c r="Q11" s="232">
        <v>54</v>
      </c>
      <c r="R11" s="30">
        <f t="shared" si="2"/>
        <v>11.72</v>
      </c>
      <c r="S11" s="232"/>
      <c r="T11" s="30">
        <f t="shared" si="3"/>
        <v>0</v>
      </c>
      <c r="U11" s="232"/>
      <c r="V11" s="30">
        <f t="shared" si="4"/>
        <v>0</v>
      </c>
      <c r="W11" s="232"/>
      <c r="X11" s="30">
        <f t="shared" si="5"/>
        <v>0</v>
      </c>
      <c r="Y11" s="37">
        <f t="shared" si="6"/>
        <v>92</v>
      </c>
      <c r="Z11" s="30">
        <f t="shared" si="7"/>
        <v>19.96</v>
      </c>
      <c r="AA11" s="29">
        <f t="shared" si="8"/>
        <v>460</v>
      </c>
    </row>
    <row r="12" spans="1:27" ht="15">
      <c r="A12" s="33">
        <v>10</v>
      </c>
      <c r="B12" s="31" t="str">
        <f>'март-май 2024'!P15</f>
        <v>Сыр твердый (45%)</v>
      </c>
      <c r="C12" s="32" t="str">
        <f>'март-май 2024'!Q15</f>
        <v>кг</v>
      </c>
      <c r="D12" s="46">
        <f>'март-май 2024'!R15</f>
        <v>543</v>
      </c>
      <c r="E12" s="232"/>
      <c r="F12" s="30">
        <f t="shared" si="0"/>
        <v>0</v>
      </c>
      <c r="G12" s="232"/>
      <c r="H12" s="30">
        <f t="shared" si="9"/>
        <v>0</v>
      </c>
      <c r="I12" s="232">
        <v>7</v>
      </c>
      <c r="J12" s="30">
        <f t="shared" si="10"/>
        <v>3.8</v>
      </c>
      <c r="K12" s="232"/>
      <c r="L12" s="30">
        <f t="shared" si="11"/>
        <v>0</v>
      </c>
      <c r="M12" s="238"/>
      <c r="N12" s="30">
        <f t="shared" si="12"/>
        <v>0</v>
      </c>
      <c r="O12" s="232"/>
      <c r="P12" s="30">
        <f t="shared" si="1"/>
        <v>0</v>
      </c>
      <c r="Q12" s="232"/>
      <c r="R12" s="30">
        <f t="shared" si="2"/>
        <v>0</v>
      </c>
      <c r="S12" s="232"/>
      <c r="T12" s="30">
        <f t="shared" si="3"/>
        <v>0</v>
      </c>
      <c r="U12" s="232">
        <v>15</v>
      </c>
      <c r="V12" s="30">
        <f t="shared" si="4"/>
        <v>8.15</v>
      </c>
      <c r="W12" s="232"/>
      <c r="X12" s="30">
        <f t="shared" si="5"/>
        <v>0</v>
      </c>
      <c r="Y12" s="37">
        <f t="shared" si="6"/>
        <v>22</v>
      </c>
      <c r="Z12" s="30">
        <f t="shared" si="7"/>
        <v>11.95</v>
      </c>
      <c r="AA12" s="29">
        <f t="shared" si="8"/>
        <v>110</v>
      </c>
    </row>
    <row r="13" spans="1:27" ht="30">
      <c r="A13" s="33">
        <v>11</v>
      </c>
      <c r="B13" s="31" t="str">
        <f>'март-май 2024'!P17</f>
        <v>Молоко сгущенное цельное с сахаром (8,5%)</v>
      </c>
      <c r="C13" s="32" t="str">
        <f>'март-май 2024'!Q17</f>
        <v>кг</v>
      </c>
      <c r="D13" s="46">
        <f>'март-май 2024'!R17</f>
        <v>247</v>
      </c>
      <c r="E13" s="232"/>
      <c r="F13" s="30">
        <f t="shared" si="0"/>
        <v>0</v>
      </c>
      <c r="G13" s="232"/>
      <c r="H13" s="30">
        <f t="shared" si="9"/>
        <v>0</v>
      </c>
      <c r="I13" s="232"/>
      <c r="J13" s="30">
        <f t="shared" si="10"/>
        <v>0</v>
      </c>
      <c r="K13" s="232">
        <v>10</v>
      </c>
      <c r="L13" s="30">
        <f t="shared" si="11"/>
        <v>2.47</v>
      </c>
      <c r="M13" s="238"/>
      <c r="N13" s="30">
        <f t="shared" si="12"/>
        <v>0</v>
      </c>
      <c r="O13" s="232"/>
      <c r="P13" s="30">
        <f t="shared" si="1"/>
        <v>0</v>
      </c>
      <c r="Q13" s="232">
        <v>10</v>
      </c>
      <c r="R13" s="30">
        <f t="shared" si="2"/>
        <v>2.47</v>
      </c>
      <c r="S13" s="232"/>
      <c r="T13" s="30">
        <f t="shared" si="3"/>
        <v>0</v>
      </c>
      <c r="U13" s="232"/>
      <c r="V13" s="30">
        <f t="shared" si="4"/>
        <v>0</v>
      </c>
      <c r="W13" s="232"/>
      <c r="X13" s="30">
        <f t="shared" si="5"/>
        <v>0</v>
      </c>
      <c r="Y13" s="37">
        <f t="shared" si="6"/>
        <v>20</v>
      </c>
      <c r="Z13" s="30">
        <f t="shared" si="7"/>
        <v>4.94</v>
      </c>
      <c r="AA13" s="29">
        <f t="shared" si="8"/>
        <v>100</v>
      </c>
    </row>
    <row r="14" spans="1:27" ht="15">
      <c r="A14" s="33">
        <v>12</v>
      </c>
      <c r="B14" s="31" t="str">
        <f>'март-май 2024'!P18</f>
        <v>Картофель (1 сорт)</v>
      </c>
      <c r="C14" s="32" t="str">
        <f>'март-май 2024'!Q18</f>
        <v>кг</v>
      </c>
      <c r="D14" s="46">
        <f>'март-май 2024'!R18</f>
        <v>54</v>
      </c>
      <c r="E14" s="232"/>
      <c r="F14" s="30">
        <f t="shared" si="0"/>
        <v>0</v>
      </c>
      <c r="G14" s="232"/>
      <c r="H14" s="30">
        <f t="shared" si="9"/>
        <v>0</v>
      </c>
      <c r="I14" s="232"/>
      <c r="J14" s="30">
        <f t="shared" si="10"/>
        <v>0</v>
      </c>
      <c r="K14" s="232"/>
      <c r="L14" s="30">
        <f t="shared" si="11"/>
        <v>0</v>
      </c>
      <c r="M14" s="238"/>
      <c r="N14" s="30">
        <f t="shared" si="12"/>
        <v>0</v>
      </c>
      <c r="O14" s="232"/>
      <c r="P14" s="30">
        <f t="shared" si="1"/>
        <v>0</v>
      </c>
      <c r="Q14" s="232"/>
      <c r="R14" s="30">
        <f t="shared" si="2"/>
        <v>0</v>
      </c>
      <c r="S14" s="232"/>
      <c r="T14" s="30">
        <f t="shared" si="3"/>
        <v>0</v>
      </c>
      <c r="U14" s="232"/>
      <c r="V14" s="30">
        <f t="shared" si="4"/>
        <v>0</v>
      </c>
      <c r="W14" s="232">
        <v>114</v>
      </c>
      <c r="X14" s="30">
        <f t="shared" si="5"/>
        <v>6.16</v>
      </c>
      <c r="Y14" s="37">
        <f t="shared" si="6"/>
        <v>114</v>
      </c>
      <c r="Z14" s="30">
        <f t="shared" si="7"/>
        <v>6.16</v>
      </c>
      <c r="AA14" s="29">
        <f t="shared" si="8"/>
        <v>570</v>
      </c>
    </row>
    <row r="15" spans="1:27" ht="15">
      <c r="A15" s="33">
        <v>13</v>
      </c>
      <c r="B15" s="31" t="str">
        <f>'март-май 2024'!P19</f>
        <v>Капуста белокачанная (1 сорт)</v>
      </c>
      <c r="C15" s="32" t="str">
        <f>'март-май 2024'!Q19</f>
        <v>кг</v>
      </c>
      <c r="D15" s="46">
        <f>'март-май 2024'!R19</f>
        <v>57</v>
      </c>
      <c r="E15" s="232"/>
      <c r="F15" s="30">
        <f t="shared" si="0"/>
        <v>0</v>
      </c>
      <c r="G15" s="232"/>
      <c r="H15" s="30">
        <f t="shared" si="9"/>
        <v>0</v>
      </c>
      <c r="I15" s="232"/>
      <c r="J15" s="30">
        <f t="shared" si="10"/>
        <v>0</v>
      </c>
      <c r="K15" s="232"/>
      <c r="L15" s="30">
        <f t="shared" si="11"/>
        <v>0</v>
      </c>
      <c r="M15" s="238"/>
      <c r="N15" s="30">
        <f t="shared" si="12"/>
        <v>0</v>
      </c>
      <c r="O15" s="232"/>
      <c r="P15" s="30">
        <f t="shared" si="1"/>
        <v>0</v>
      </c>
      <c r="Q15" s="232"/>
      <c r="R15" s="30">
        <f t="shared" si="2"/>
        <v>0</v>
      </c>
      <c r="S15" s="232"/>
      <c r="T15" s="30">
        <f t="shared" si="3"/>
        <v>0</v>
      </c>
      <c r="U15" s="232"/>
      <c r="V15" s="30">
        <f t="shared" si="4"/>
        <v>0</v>
      </c>
      <c r="W15" s="232"/>
      <c r="X15" s="30">
        <f t="shared" si="5"/>
        <v>0</v>
      </c>
      <c r="Y15" s="37">
        <f t="shared" si="6"/>
        <v>0</v>
      </c>
      <c r="Z15" s="30">
        <f t="shared" si="7"/>
        <v>0</v>
      </c>
      <c r="AA15" s="29">
        <f t="shared" si="8"/>
        <v>0</v>
      </c>
    </row>
    <row r="16" spans="1:27" ht="15">
      <c r="A16" s="33">
        <v>14</v>
      </c>
      <c r="B16" s="31" t="str">
        <f>'март-май 2024'!P20</f>
        <v>Лук репчатый (1 сорт)</v>
      </c>
      <c r="C16" s="32" t="str">
        <f>'март-май 2024'!Q20</f>
        <v>кг</v>
      </c>
      <c r="D16" s="46">
        <f>'март-май 2024'!R20</f>
        <v>49</v>
      </c>
      <c r="E16" s="232"/>
      <c r="F16" s="30">
        <f t="shared" si="0"/>
        <v>0</v>
      </c>
      <c r="G16" s="232"/>
      <c r="H16" s="30">
        <f t="shared" si="9"/>
        <v>0</v>
      </c>
      <c r="I16" s="232"/>
      <c r="J16" s="30">
        <f t="shared" si="10"/>
        <v>0</v>
      </c>
      <c r="K16" s="232"/>
      <c r="L16" s="30">
        <f t="shared" si="11"/>
        <v>0</v>
      </c>
      <c r="M16" s="238"/>
      <c r="N16" s="30">
        <f t="shared" si="12"/>
        <v>0</v>
      </c>
      <c r="O16" s="232"/>
      <c r="P16" s="30">
        <f t="shared" si="1"/>
        <v>0</v>
      </c>
      <c r="Q16" s="232"/>
      <c r="R16" s="30">
        <f t="shared" si="2"/>
        <v>0</v>
      </c>
      <c r="S16" s="232"/>
      <c r="T16" s="30">
        <f t="shared" si="3"/>
        <v>0</v>
      </c>
      <c r="U16" s="232"/>
      <c r="V16" s="30">
        <f t="shared" si="4"/>
        <v>0</v>
      </c>
      <c r="W16" s="232">
        <v>12</v>
      </c>
      <c r="X16" s="30">
        <f t="shared" si="5"/>
        <v>0.59</v>
      </c>
      <c r="Y16" s="37">
        <f t="shared" si="6"/>
        <v>12</v>
      </c>
      <c r="Z16" s="30">
        <f t="shared" si="7"/>
        <v>0.59</v>
      </c>
      <c r="AA16" s="29">
        <f t="shared" si="8"/>
        <v>60</v>
      </c>
    </row>
    <row r="17" spans="1:27" ht="15">
      <c r="A17" s="33">
        <v>15</v>
      </c>
      <c r="B17" s="31" t="str">
        <f>'март-май 2024'!P21</f>
        <v>Морковь (1 сорт)</v>
      </c>
      <c r="C17" s="32" t="str">
        <f>'март-май 2024'!Q21</f>
        <v>кг</v>
      </c>
      <c r="D17" s="46">
        <f>'март-май 2024'!R21</f>
        <v>60</v>
      </c>
      <c r="E17" s="232"/>
      <c r="F17" s="30">
        <f t="shared" si="0"/>
        <v>0</v>
      </c>
      <c r="G17" s="232"/>
      <c r="H17" s="30">
        <f t="shared" si="9"/>
        <v>0</v>
      </c>
      <c r="I17" s="232"/>
      <c r="J17" s="30">
        <f t="shared" si="10"/>
        <v>0</v>
      </c>
      <c r="K17" s="232"/>
      <c r="L17" s="30">
        <f t="shared" si="11"/>
        <v>0</v>
      </c>
      <c r="M17" s="238"/>
      <c r="N17" s="30">
        <f t="shared" si="12"/>
        <v>0</v>
      </c>
      <c r="O17" s="232"/>
      <c r="P17" s="30">
        <f t="shared" si="1"/>
        <v>0</v>
      </c>
      <c r="Q17" s="232"/>
      <c r="R17" s="30">
        <f t="shared" si="2"/>
        <v>0</v>
      </c>
      <c r="S17" s="232"/>
      <c r="T17" s="30">
        <f t="shared" si="3"/>
        <v>0</v>
      </c>
      <c r="U17" s="232"/>
      <c r="V17" s="30">
        <f t="shared" si="4"/>
        <v>0</v>
      </c>
      <c r="W17" s="232">
        <v>12</v>
      </c>
      <c r="X17" s="30">
        <f t="shared" si="5"/>
        <v>0.72</v>
      </c>
      <c r="Y17" s="37">
        <f t="shared" si="6"/>
        <v>12</v>
      </c>
      <c r="Z17" s="30">
        <f t="shared" si="7"/>
        <v>0.72</v>
      </c>
      <c r="AA17" s="29">
        <f t="shared" si="8"/>
        <v>60</v>
      </c>
    </row>
    <row r="18" spans="1:27" ht="15">
      <c r="A18" s="33">
        <v>16</v>
      </c>
      <c r="B18" s="31" t="str">
        <f>'март-май 2024'!P22</f>
        <v>Свекла (1 сорт)</v>
      </c>
      <c r="C18" s="32" t="str">
        <f>'март-май 2024'!Q22</f>
        <v>кг</v>
      </c>
      <c r="D18" s="46">
        <f>'март-май 2024'!R22</f>
        <v>51</v>
      </c>
      <c r="E18" s="232"/>
      <c r="F18" s="30">
        <f t="shared" si="0"/>
        <v>0</v>
      </c>
      <c r="G18" s="232"/>
      <c r="H18" s="30">
        <f t="shared" si="9"/>
        <v>0</v>
      </c>
      <c r="I18" s="232"/>
      <c r="J18" s="30">
        <f t="shared" si="10"/>
        <v>0</v>
      </c>
      <c r="K18" s="232"/>
      <c r="L18" s="30">
        <f t="shared" si="11"/>
        <v>0</v>
      </c>
      <c r="M18" s="238"/>
      <c r="N18" s="30">
        <f t="shared" si="12"/>
        <v>0</v>
      </c>
      <c r="O18" s="232"/>
      <c r="P18" s="30">
        <f t="shared" si="1"/>
        <v>0</v>
      </c>
      <c r="Q18" s="232"/>
      <c r="R18" s="30">
        <f t="shared" si="2"/>
        <v>0</v>
      </c>
      <c r="S18" s="232"/>
      <c r="T18" s="30">
        <f t="shared" si="3"/>
        <v>0</v>
      </c>
      <c r="U18" s="232"/>
      <c r="V18" s="30">
        <f t="shared" si="4"/>
        <v>0</v>
      </c>
      <c r="W18" s="232"/>
      <c r="X18" s="30">
        <f t="shared" si="5"/>
        <v>0</v>
      </c>
      <c r="Y18" s="37">
        <f t="shared" si="6"/>
        <v>0</v>
      </c>
      <c r="Z18" s="30">
        <f t="shared" si="7"/>
        <v>0</v>
      </c>
      <c r="AA18" s="29">
        <f t="shared" si="8"/>
        <v>0</v>
      </c>
    </row>
    <row r="19" spans="1:27" ht="30">
      <c r="A19" s="33">
        <v>17</v>
      </c>
      <c r="B19" s="31" t="str">
        <f>'март-май 2024'!P23</f>
        <v>Огурцы консервированные без уксуса (1 с)</v>
      </c>
      <c r="C19" s="32" t="str">
        <f>'март-май 2024'!Q23</f>
        <v>кг</v>
      </c>
      <c r="D19" s="46">
        <f>'март-май 2024'!R23</f>
        <v>74</v>
      </c>
      <c r="E19" s="232"/>
      <c r="F19" s="30">
        <f t="shared" si="0"/>
        <v>0</v>
      </c>
      <c r="G19" s="232"/>
      <c r="H19" s="30">
        <f t="shared" si="9"/>
        <v>0</v>
      </c>
      <c r="I19" s="232"/>
      <c r="J19" s="30">
        <f t="shared" si="10"/>
        <v>0</v>
      </c>
      <c r="K19" s="232"/>
      <c r="L19" s="30">
        <f t="shared" si="11"/>
        <v>0</v>
      </c>
      <c r="M19" s="238"/>
      <c r="N19" s="30">
        <f t="shared" si="12"/>
        <v>0</v>
      </c>
      <c r="O19" s="232"/>
      <c r="P19" s="30">
        <f t="shared" si="1"/>
        <v>0</v>
      </c>
      <c r="Q19" s="232"/>
      <c r="R19" s="30">
        <f t="shared" si="2"/>
        <v>0</v>
      </c>
      <c r="S19" s="232"/>
      <c r="T19" s="30">
        <f t="shared" si="3"/>
        <v>0</v>
      </c>
      <c r="U19" s="232"/>
      <c r="V19" s="30">
        <f t="shared" si="4"/>
        <v>0</v>
      </c>
      <c r="W19" s="232">
        <v>63</v>
      </c>
      <c r="X19" s="30">
        <f t="shared" si="5"/>
        <v>4.66</v>
      </c>
      <c r="Y19" s="37">
        <f t="shared" si="6"/>
        <v>63</v>
      </c>
      <c r="Z19" s="30">
        <f t="shared" si="7"/>
        <v>4.66</v>
      </c>
      <c r="AA19" s="29">
        <f t="shared" si="8"/>
        <v>315</v>
      </c>
    </row>
    <row r="20" spans="1:27" ht="15">
      <c r="A20" s="33">
        <v>18</v>
      </c>
      <c r="B20" s="31" t="str">
        <f>'март-май 2024'!P24</f>
        <v>Икра кабачковая для дет. питания</v>
      </c>
      <c r="C20" s="32" t="str">
        <f>'март-май 2024'!Q24</f>
        <v>кг</v>
      </c>
      <c r="D20" s="46">
        <f>'март-май 2024'!R24</f>
        <v>123</v>
      </c>
      <c r="E20" s="232"/>
      <c r="F20" s="30">
        <f t="shared" si="0"/>
        <v>0</v>
      </c>
      <c r="G20" s="232"/>
      <c r="H20" s="30">
        <f t="shared" si="9"/>
        <v>0</v>
      </c>
      <c r="I20" s="232"/>
      <c r="J20" s="30">
        <f t="shared" si="10"/>
        <v>0</v>
      </c>
      <c r="K20" s="232"/>
      <c r="L20" s="30">
        <f t="shared" si="11"/>
        <v>0</v>
      </c>
      <c r="M20" s="238"/>
      <c r="N20" s="30">
        <f t="shared" si="12"/>
        <v>0</v>
      </c>
      <c r="O20" s="232"/>
      <c r="P20" s="30">
        <f t="shared" si="1"/>
        <v>0</v>
      </c>
      <c r="Q20" s="232"/>
      <c r="R20" s="30">
        <f t="shared" si="2"/>
        <v>0</v>
      </c>
      <c r="S20" s="232">
        <v>25</v>
      </c>
      <c r="T20" s="30">
        <f t="shared" si="3"/>
        <v>3.08</v>
      </c>
      <c r="U20" s="232"/>
      <c r="V20" s="30">
        <f t="shared" si="4"/>
        <v>0</v>
      </c>
      <c r="W20" s="232"/>
      <c r="X20" s="30">
        <f t="shared" si="5"/>
        <v>0</v>
      </c>
      <c r="Y20" s="37">
        <f t="shared" si="6"/>
        <v>25</v>
      </c>
      <c r="Z20" s="30">
        <f t="shared" si="7"/>
        <v>3.08</v>
      </c>
      <c r="AA20" s="29">
        <f t="shared" si="8"/>
        <v>125</v>
      </c>
    </row>
    <row r="21" spans="1:27" ht="15">
      <c r="A21" s="33">
        <v>19</v>
      </c>
      <c r="B21" s="31" t="str">
        <f>'март-май 2024'!P25</f>
        <v>Горошек зеленый (сорт салатный)</v>
      </c>
      <c r="C21" s="32" t="str">
        <f>'март-май 2024'!Q25</f>
        <v>кг</v>
      </c>
      <c r="D21" s="46">
        <f>'март-май 2024'!R25</f>
        <v>123</v>
      </c>
      <c r="E21" s="232"/>
      <c r="F21" s="30">
        <f t="shared" si="0"/>
        <v>0</v>
      </c>
      <c r="G21" s="232"/>
      <c r="H21" s="30">
        <f t="shared" si="9"/>
        <v>0</v>
      </c>
      <c r="I21" s="232"/>
      <c r="J21" s="30">
        <f t="shared" si="10"/>
        <v>0</v>
      </c>
      <c r="K21" s="232"/>
      <c r="L21" s="30">
        <f t="shared" si="11"/>
        <v>0</v>
      </c>
      <c r="M21" s="238"/>
      <c r="N21" s="30">
        <f t="shared" si="12"/>
        <v>0</v>
      </c>
      <c r="O21" s="232"/>
      <c r="P21" s="30">
        <f t="shared" si="1"/>
        <v>0</v>
      </c>
      <c r="Q21" s="232"/>
      <c r="R21" s="30">
        <f t="shared" si="2"/>
        <v>0</v>
      </c>
      <c r="S21" s="232"/>
      <c r="T21" s="30">
        <f t="shared" si="3"/>
        <v>0</v>
      </c>
      <c r="U21" s="232"/>
      <c r="V21" s="30">
        <f t="shared" si="4"/>
        <v>0</v>
      </c>
      <c r="W21" s="232"/>
      <c r="X21" s="30">
        <f t="shared" si="5"/>
        <v>0</v>
      </c>
      <c r="Y21" s="37">
        <f t="shared" si="6"/>
        <v>0</v>
      </c>
      <c r="Z21" s="30">
        <f t="shared" si="7"/>
        <v>0</v>
      </c>
      <c r="AA21" s="29">
        <f t="shared" si="8"/>
        <v>0</v>
      </c>
    </row>
    <row r="22" spans="1:27" ht="30">
      <c r="A22" s="33">
        <v>20</v>
      </c>
      <c r="B22" s="31" t="str">
        <f>'март-май 2024'!P26</f>
        <v>Томатная паста с содержанием с/в (25-30%)</v>
      </c>
      <c r="C22" s="32" t="str">
        <f>'март-май 2024'!Q26</f>
        <v>кг</v>
      </c>
      <c r="D22" s="46">
        <f>'март-май 2024'!R26</f>
        <v>142</v>
      </c>
      <c r="E22" s="232"/>
      <c r="F22" s="30">
        <f t="shared" si="0"/>
        <v>0</v>
      </c>
      <c r="G22" s="232"/>
      <c r="H22" s="30">
        <f t="shared" si="9"/>
        <v>0</v>
      </c>
      <c r="I22" s="232">
        <v>4</v>
      </c>
      <c r="J22" s="30">
        <f t="shared" si="10"/>
        <v>0.57</v>
      </c>
      <c r="K22" s="232"/>
      <c r="L22" s="30">
        <f t="shared" si="11"/>
        <v>0</v>
      </c>
      <c r="M22" s="238"/>
      <c r="N22" s="30">
        <f t="shared" si="12"/>
        <v>0</v>
      </c>
      <c r="O22" s="232"/>
      <c r="P22" s="30">
        <f t="shared" si="1"/>
        <v>0</v>
      </c>
      <c r="Q22" s="232"/>
      <c r="R22" s="30">
        <f t="shared" si="2"/>
        <v>0</v>
      </c>
      <c r="S22" s="232"/>
      <c r="T22" s="30">
        <f t="shared" si="3"/>
        <v>0</v>
      </c>
      <c r="U22" s="232"/>
      <c r="V22" s="30">
        <f t="shared" si="4"/>
        <v>0</v>
      </c>
      <c r="W22" s="232">
        <v>3</v>
      </c>
      <c r="X22" s="30">
        <f t="shared" si="5"/>
        <v>0.43</v>
      </c>
      <c r="Y22" s="37">
        <f t="shared" si="6"/>
        <v>7</v>
      </c>
      <c r="Z22" s="30">
        <f t="shared" si="7"/>
        <v>0.99</v>
      </c>
      <c r="AA22" s="29">
        <f t="shared" si="8"/>
        <v>35</v>
      </c>
    </row>
    <row r="23" spans="1:27" ht="15">
      <c r="A23" s="33">
        <v>21</v>
      </c>
      <c r="B23" s="31" t="str">
        <f>'март-май 2024'!P27</f>
        <v>Яблоки свежие (1 сорт)</v>
      </c>
      <c r="C23" s="32" t="str">
        <f>'март-май 2024'!Q27</f>
        <v>кг</v>
      </c>
      <c r="D23" s="46">
        <f>'март-май 2024'!R27</f>
        <v>110</v>
      </c>
      <c r="E23" s="232"/>
      <c r="F23" s="30">
        <f t="shared" si="0"/>
        <v>0</v>
      </c>
      <c r="G23" s="232"/>
      <c r="H23" s="30">
        <f t="shared" si="9"/>
        <v>0</v>
      </c>
      <c r="I23" s="232"/>
      <c r="J23" s="30">
        <f t="shared" si="10"/>
        <v>0</v>
      </c>
      <c r="K23" s="232"/>
      <c r="L23" s="30">
        <f t="shared" si="11"/>
        <v>0</v>
      </c>
      <c r="M23" s="238"/>
      <c r="N23" s="30">
        <f t="shared" si="12"/>
        <v>0</v>
      </c>
      <c r="O23" s="232"/>
      <c r="P23" s="30">
        <f t="shared" si="1"/>
        <v>0</v>
      </c>
      <c r="Q23" s="232"/>
      <c r="R23" s="30">
        <f t="shared" si="2"/>
        <v>0</v>
      </c>
      <c r="S23" s="232"/>
      <c r="T23" s="30">
        <f t="shared" si="3"/>
        <v>0</v>
      </c>
      <c r="U23" s="232"/>
      <c r="V23" s="30">
        <f t="shared" si="4"/>
        <v>0</v>
      </c>
      <c r="W23" s="232"/>
      <c r="X23" s="30">
        <f t="shared" si="5"/>
        <v>0</v>
      </c>
      <c r="Y23" s="37">
        <f t="shared" si="6"/>
        <v>0</v>
      </c>
      <c r="Z23" s="30">
        <f t="shared" si="7"/>
        <v>0</v>
      </c>
      <c r="AA23" s="29">
        <f t="shared" si="8"/>
        <v>0</v>
      </c>
    </row>
    <row r="24" spans="1:27" ht="15">
      <c r="A24" s="33">
        <v>22</v>
      </c>
      <c r="B24" s="31" t="str">
        <f>'март-май 2024'!P28</f>
        <v>Бананы свежие (1 сорт)</v>
      </c>
      <c r="C24" s="32" t="str">
        <f>'март-май 2024'!Q28</f>
        <v>кг</v>
      </c>
      <c r="D24" s="46">
        <f>'март-май 2024'!R28</f>
        <v>172</v>
      </c>
      <c r="E24" s="232"/>
      <c r="F24" s="30">
        <f t="shared" si="0"/>
        <v>0</v>
      </c>
      <c r="G24" s="232"/>
      <c r="H24" s="30">
        <f t="shared" si="9"/>
        <v>0</v>
      </c>
      <c r="I24" s="232"/>
      <c r="J24" s="30">
        <f t="shared" si="10"/>
        <v>0</v>
      </c>
      <c r="K24" s="232"/>
      <c r="L24" s="30">
        <f t="shared" si="11"/>
        <v>0</v>
      </c>
      <c r="M24" s="238"/>
      <c r="N24" s="30">
        <f t="shared" si="12"/>
        <v>0</v>
      </c>
      <c r="O24" s="232"/>
      <c r="P24" s="30">
        <f t="shared" si="1"/>
        <v>0</v>
      </c>
      <c r="Q24" s="232"/>
      <c r="R24" s="30">
        <f t="shared" si="2"/>
        <v>0</v>
      </c>
      <c r="S24" s="232"/>
      <c r="T24" s="30">
        <f t="shared" si="3"/>
        <v>0</v>
      </c>
      <c r="U24" s="232"/>
      <c r="V24" s="30">
        <f t="shared" si="4"/>
        <v>0</v>
      </c>
      <c r="W24" s="232"/>
      <c r="X24" s="30">
        <f t="shared" si="5"/>
        <v>0</v>
      </c>
      <c r="Y24" s="37">
        <f t="shared" si="6"/>
        <v>0</v>
      </c>
      <c r="Z24" s="30">
        <f t="shared" si="7"/>
        <v>0</v>
      </c>
      <c r="AA24" s="29">
        <f t="shared" si="8"/>
        <v>0</v>
      </c>
    </row>
    <row r="25" spans="1:27" ht="15">
      <c r="A25" s="33">
        <v>23</v>
      </c>
      <c r="B25" s="31" t="str">
        <f>'март-май 2024'!P29</f>
        <v>Сухофрукты ассорти</v>
      </c>
      <c r="C25" s="32" t="str">
        <f>'март-май 2024'!Q29</f>
        <v>кг</v>
      </c>
      <c r="D25" s="46">
        <f>'март-май 2024'!R29</f>
        <v>140</v>
      </c>
      <c r="E25" s="232"/>
      <c r="F25" s="30">
        <f t="shared" si="0"/>
        <v>0</v>
      </c>
      <c r="G25" s="232"/>
      <c r="H25" s="30">
        <f t="shared" si="9"/>
        <v>0</v>
      </c>
      <c r="I25" s="232"/>
      <c r="J25" s="30">
        <f t="shared" si="10"/>
        <v>0</v>
      </c>
      <c r="K25" s="232"/>
      <c r="L25" s="30">
        <f t="shared" si="11"/>
        <v>0</v>
      </c>
      <c r="M25" s="238"/>
      <c r="N25" s="30">
        <f t="shared" si="12"/>
        <v>0</v>
      </c>
      <c r="O25" s="232"/>
      <c r="P25" s="30">
        <f t="shared" si="1"/>
        <v>0</v>
      </c>
      <c r="Q25" s="232"/>
      <c r="R25" s="30">
        <f t="shared" si="2"/>
        <v>0</v>
      </c>
      <c r="S25" s="232"/>
      <c r="T25" s="30">
        <f t="shared" si="3"/>
        <v>0</v>
      </c>
      <c r="U25" s="232"/>
      <c r="V25" s="30">
        <f t="shared" si="4"/>
        <v>0</v>
      </c>
      <c r="W25" s="232"/>
      <c r="X25" s="30">
        <f t="shared" si="5"/>
        <v>0</v>
      </c>
      <c r="Y25" s="37">
        <f t="shared" si="6"/>
        <v>0</v>
      </c>
      <c r="Z25" s="30">
        <f t="shared" si="7"/>
        <v>0</v>
      </c>
      <c r="AA25" s="29">
        <f t="shared" si="8"/>
        <v>0</v>
      </c>
    </row>
    <row r="26" spans="1:27" ht="15">
      <c r="A26" s="33">
        <v>24</v>
      </c>
      <c r="B26" s="31" t="str">
        <f>'март-май 2024'!P30</f>
        <v>Изюм</v>
      </c>
      <c r="C26" s="32" t="str">
        <f>'март-май 2024'!Q30</f>
        <v>кг</v>
      </c>
      <c r="D26" s="46">
        <f>'март-май 2024'!R30</f>
        <v>293</v>
      </c>
      <c r="E26" s="232"/>
      <c r="F26" s="30">
        <f t="shared" si="0"/>
        <v>0</v>
      </c>
      <c r="G26" s="232"/>
      <c r="H26" s="30">
        <f t="shared" si="9"/>
        <v>0</v>
      </c>
      <c r="I26" s="232"/>
      <c r="J26" s="30">
        <f t="shared" si="10"/>
        <v>0</v>
      </c>
      <c r="K26" s="232"/>
      <c r="L26" s="30">
        <f t="shared" si="11"/>
        <v>0</v>
      </c>
      <c r="M26" s="238"/>
      <c r="N26" s="30">
        <f t="shared" si="12"/>
        <v>0</v>
      </c>
      <c r="O26" s="232"/>
      <c r="P26" s="30">
        <f t="shared" si="1"/>
        <v>0</v>
      </c>
      <c r="Q26" s="232"/>
      <c r="R26" s="30">
        <f t="shared" si="2"/>
        <v>0</v>
      </c>
      <c r="S26" s="232"/>
      <c r="T26" s="30">
        <f t="shared" si="3"/>
        <v>0</v>
      </c>
      <c r="U26" s="232"/>
      <c r="V26" s="30">
        <f t="shared" si="4"/>
        <v>0</v>
      </c>
      <c r="W26" s="232"/>
      <c r="X26" s="30">
        <f t="shared" si="5"/>
        <v>0</v>
      </c>
      <c r="Y26" s="37">
        <f t="shared" si="6"/>
        <v>0</v>
      </c>
      <c r="Z26" s="30">
        <f t="shared" si="7"/>
        <v>0</v>
      </c>
      <c r="AA26" s="29">
        <f t="shared" si="8"/>
        <v>0</v>
      </c>
    </row>
    <row r="27" spans="1:27" ht="15">
      <c r="A27" s="33">
        <v>25</v>
      </c>
      <c r="B27" s="31" t="str">
        <f>'март-май 2024'!P31</f>
        <v>Повидло фруктовое (1 сорт)</v>
      </c>
      <c r="C27" s="32" t="str">
        <f>'март-май 2024'!Q31</f>
        <v>кг</v>
      </c>
      <c r="D27" s="46">
        <f>'март-май 2024'!R31</f>
        <v>147</v>
      </c>
      <c r="E27" s="232"/>
      <c r="F27" s="30">
        <f t="shared" si="0"/>
        <v>0</v>
      </c>
      <c r="G27" s="232"/>
      <c r="H27" s="30">
        <f t="shared" si="9"/>
        <v>0</v>
      </c>
      <c r="I27" s="232"/>
      <c r="J27" s="30">
        <f t="shared" si="10"/>
        <v>0</v>
      </c>
      <c r="K27" s="232"/>
      <c r="L27" s="30">
        <f t="shared" si="11"/>
        <v>0</v>
      </c>
      <c r="M27" s="238"/>
      <c r="N27" s="30">
        <f t="shared" si="12"/>
        <v>0</v>
      </c>
      <c r="O27" s="232"/>
      <c r="P27" s="30">
        <f t="shared" si="1"/>
        <v>0</v>
      </c>
      <c r="Q27" s="232"/>
      <c r="R27" s="30">
        <f t="shared" si="2"/>
        <v>0</v>
      </c>
      <c r="S27" s="232"/>
      <c r="T27" s="30">
        <f t="shared" si="3"/>
        <v>0</v>
      </c>
      <c r="U27" s="232"/>
      <c r="V27" s="30">
        <f t="shared" si="4"/>
        <v>0</v>
      </c>
      <c r="W27" s="232"/>
      <c r="X27" s="30">
        <f t="shared" si="5"/>
        <v>0</v>
      </c>
      <c r="Y27" s="37">
        <f t="shared" si="6"/>
        <v>0</v>
      </c>
      <c r="Z27" s="30">
        <f t="shared" si="7"/>
        <v>0</v>
      </c>
      <c r="AA27" s="29">
        <f t="shared" si="8"/>
        <v>0</v>
      </c>
    </row>
    <row r="28" spans="1:27" ht="15">
      <c r="A28" s="33">
        <v>26</v>
      </c>
      <c r="B28" s="31" t="str">
        <f>'март-май 2024'!P32</f>
        <v>Сок фруктовый (1 литр)</v>
      </c>
      <c r="C28" s="32" t="str">
        <f>'март-май 2024'!Q32</f>
        <v>л</v>
      </c>
      <c r="D28" s="46">
        <f>'март-май 2024'!R32</f>
        <v>62</v>
      </c>
      <c r="E28" s="232"/>
      <c r="F28" s="30">
        <f t="shared" si="0"/>
        <v>0</v>
      </c>
      <c r="G28" s="232"/>
      <c r="H28" s="30">
        <f t="shared" si="9"/>
        <v>0</v>
      </c>
      <c r="I28" s="232"/>
      <c r="J28" s="30">
        <f t="shared" si="10"/>
        <v>0</v>
      </c>
      <c r="K28" s="232"/>
      <c r="L28" s="30">
        <f t="shared" si="11"/>
        <v>0</v>
      </c>
      <c r="M28" s="238"/>
      <c r="N28" s="30">
        <f t="shared" si="12"/>
        <v>0</v>
      </c>
      <c r="O28" s="232"/>
      <c r="P28" s="30">
        <f t="shared" si="1"/>
        <v>0</v>
      </c>
      <c r="Q28" s="232"/>
      <c r="R28" s="30">
        <f t="shared" si="2"/>
        <v>0</v>
      </c>
      <c r="S28" s="232"/>
      <c r="T28" s="30">
        <f t="shared" si="3"/>
        <v>0</v>
      </c>
      <c r="U28" s="232"/>
      <c r="V28" s="30">
        <f t="shared" si="4"/>
        <v>0</v>
      </c>
      <c r="W28" s="232"/>
      <c r="X28" s="30">
        <f t="shared" si="5"/>
        <v>0</v>
      </c>
      <c r="Y28" s="37">
        <f t="shared" si="6"/>
        <v>0</v>
      </c>
      <c r="Z28" s="30">
        <f t="shared" si="7"/>
        <v>0</v>
      </c>
      <c r="AA28" s="29">
        <f t="shared" si="8"/>
        <v>0</v>
      </c>
    </row>
    <row r="29" spans="1:27" ht="30">
      <c r="A29" s="33">
        <v>27</v>
      </c>
      <c r="B29" s="31" t="str">
        <f>'март-май 2024'!P33</f>
        <v>Масло растительное, рафинированное</v>
      </c>
      <c r="C29" s="32" t="str">
        <f>'март-май 2024'!Q33</f>
        <v>кг</v>
      </c>
      <c r="D29" s="46">
        <f>'март-май 2024'!R33</f>
        <v>145</v>
      </c>
      <c r="E29" s="232">
        <v>2</v>
      </c>
      <c r="F29" s="30">
        <f t="shared" si="0"/>
        <v>0.29</v>
      </c>
      <c r="G29" s="232"/>
      <c r="H29" s="30">
        <f t="shared" si="9"/>
        <v>0</v>
      </c>
      <c r="I29" s="232">
        <v>3</v>
      </c>
      <c r="J29" s="30">
        <f t="shared" si="10"/>
        <v>0.44</v>
      </c>
      <c r="K29" s="232"/>
      <c r="L29" s="30">
        <f t="shared" si="11"/>
        <v>0</v>
      </c>
      <c r="M29" s="238">
        <v>2</v>
      </c>
      <c r="N29" s="30">
        <f t="shared" si="12"/>
        <v>0.29</v>
      </c>
      <c r="O29" s="232"/>
      <c r="P29" s="30">
        <f t="shared" si="1"/>
        <v>0</v>
      </c>
      <c r="Q29" s="232"/>
      <c r="R29" s="30">
        <f t="shared" si="2"/>
        <v>0</v>
      </c>
      <c r="S29" s="232"/>
      <c r="T29" s="30">
        <f t="shared" si="3"/>
        <v>0</v>
      </c>
      <c r="U29" s="232"/>
      <c r="V29" s="30">
        <f t="shared" si="4"/>
        <v>0</v>
      </c>
      <c r="W29" s="232"/>
      <c r="X29" s="30">
        <f t="shared" si="5"/>
        <v>0</v>
      </c>
      <c r="Y29" s="37">
        <f t="shared" si="6"/>
        <v>7</v>
      </c>
      <c r="Z29" s="30">
        <f t="shared" si="7"/>
        <v>1.02</v>
      </c>
      <c r="AA29" s="29">
        <f t="shared" si="8"/>
        <v>35</v>
      </c>
    </row>
    <row r="30" spans="1:27" ht="15">
      <c r="A30" s="33">
        <v>28</v>
      </c>
      <c r="B30" s="31" t="str">
        <f>'март-май 2024'!P34</f>
        <v>Рыба с/м (1 сорт), минтай</v>
      </c>
      <c r="C30" s="32" t="str">
        <f>'март-май 2024'!Q34</f>
        <v>кг</v>
      </c>
      <c r="D30" s="46">
        <f>'март-май 2024'!R34</f>
        <v>210</v>
      </c>
      <c r="E30" s="232"/>
      <c r="F30" s="30">
        <f t="shared" si="0"/>
        <v>0</v>
      </c>
      <c r="G30" s="232"/>
      <c r="H30" s="30">
        <f t="shared" si="9"/>
        <v>0</v>
      </c>
      <c r="I30" s="232"/>
      <c r="J30" s="30">
        <f t="shared" si="10"/>
        <v>0</v>
      </c>
      <c r="K30" s="232"/>
      <c r="L30" s="30">
        <f t="shared" si="11"/>
        <v>0</v>
      </c>
      <c r="M30" s="238"/>
      <c r="N30" s="30">
        <f t="shared" si="12"/>
        <v>0</v>
      </c>
      <c r="O30" s="232"/>
      <c r="P30" s="30">
        <f t="shared" si="1"/>
        <v>0</v>
      </c>
      <c r="Q30" s="232"/>
      <c r="R30" s="30">
        <f t="shared" si="2"/>
        <v>0</v>
      </c>
      <c r="S30" s="232"/>
      <c r="T30" s="30">
        <f t="shared" si="3"/>
        <v>0</v>
      </c>
      <c r="U30" s="232"/>
      <c r="V30" s="30">
        <f t="shared" si="4"/>
        <v>0</v>
      </c>
      <c r="W30" s="232"/>
      <c r="X30" s="30">
        <f t="shared" si="5"/>
        <v>0</v>
      </c>
      <c r="Y30" s="37">
        <f t="shared" si="6"/>
        <v>0</v>
      </c>
      <c r="Z30" s="30">
        <f t="shared" si="7"/>
        <v>0</v>
      </c>
      <c r="AA30" s="29">
        <f t="shared" si="8"/>
        <v>0</v>
      </c>
    </row>
    <row r="31" spans="1:27" ht="15">
      <c r="A31" s="33">
        <v>29</v>
      </c>
      <c r="B31" s="31">
        <f>'март-май 2024'!P35</f>
        <v>0</v>
      </c>
      <c r="C31" s="32">
        <f>'март-май 2024'!Q35</f>
        <v>0</v>
      </c>
      <c r="D31" s="46">
        <f>'март-май 2024'!R35</f>
        <v>0</v>
      </c>
      <c r="E31" s="232"/>
      <c r="F31" s="30">
        <f t="shared" si="0"/>
        <v>0</v>
      </c>
      <c r="G31" s="232"/>
      <c r="H31" s="30">
        <f t="shared" si="9"/>
        <v>0</v>
      </c>
      <c r="I31" s="232"/>
      <c r="J31" s="30">
        <f t="shared" si="10"/>
        <v>0</v>
      </c>
      <c r="K31" s="232"/>
      <c r="L31" s="30">
        <f t="shared" si="11"/>
        <v>0</v>
      </c>
      <c r="M31" s="238"/>
      <c r="N31" s="30">
        <f t="shared" si="12"/>
        <v>0</v>
      </c>
      <c r="O31" s="232"/>
      <c r="P31" s="30">
        <f t="shared" si="1"/>
        <v>0</v>
      </c>
      <c r="Q31" s="232"/>
      <c r="R31" s="30">
        <f t="shared" si="2"/>
        <v>0</v>
      </c>
      <c r="S31" s="232"/>
      <c r="T31" s="30">
        <f t="shared" si="3"/>
        <v>0</v>
      </c>
      <c r="U31" s="232"/>
      <c r="V31" s="30">
        <f t="shared" si="4"/>
        <v>0</v>
      </c>
      <c r="W31" s="232"/>
      <c r="X31" s="30">
        <f t="shared" si="5"/>
        <v>0</v>
      </c>
      <c r="Y31" s="37">
        <f t="shared" si="6"/>
        <v>0</v>
      </c>
      <c r="Z31" s="30">
        <f t="shared" si="7"/>
        <v>0</v>
      </c>
      <c r="AA31" s="29">
        <f t="shared" si="8"/>
        <v>0</v>
      </c>
    </row>
    <row r="32" spans="1:27" ht="15">
      <c r="A32" s="33">
        <v>30</v>
      </c>
      <c r="B32" s="31" t="str">
        <f>'март-май 2024'!P36</f>
        <v>Мука пшеничная (высший сорт)</v>
      </c>
      <c r="C32" s="32" t="str">
        <f>'март-май 2024'!Q36</f>
        <v>кг</v>
      </c>
      <c r="D32" s="46">
        <f>'март-май 2024'!R36</f>
        <v>40</v>
      </c>
      <c r="E32" s="232">
        <v>38</v>
      </c>
      <c r="F32" s="30">
        <f t="shared" si="0"/>
        <v>1.52</v>
      </c>
      <c r="G32" s="232"/>
      <c r="H32" s="30">
        <f t="shared" si="9"/>
        <v>0</v>
      </c>
      <c r="I32" s="232">
        <v>49.5</v>
      </c>
      <c r="J32" s="30">
        <f t="shared" si="10"/>
        <v>1.98</v>
      </c>
      <c r="K32" s="232"/>
      <c r="L32" s="30">
        <f t="shared" si="11"/>
        <v>0</v>
      </c>
      <c r="M32" s="238">
        <v>36</v>
      </c>
      <c r="N32" s="30">
        <v>1.45</v>
      </c>
      <c r="O32" s="232">
        <v>29</v>
      </c>
      <c r="P32" s="30">
        <v>1.17</v>
      </c>
      <c r="Q32" s="232">
        <v>7</v>
      </c>
      <c r="R32" s="30">
        <f t="shared" si="2"/>
        <v>0.28</v>
      </c>
      <c r="S32" s="232"/>
      <c r="T32" s="30">
        <f t="shared" si="3"/>
        <v>0</v>
      </c>
      <c r="U32" s="232"/>
      <c r="V32" s="30">
        <f t="shared" si="4"/>
        <v>0</v>
      </c>
      <c r="W32" s="232"/>
      <c r="X32" s="30">
        <f t="shared" si="5"/>
        <v>0</v>
      </c>
      <c r="Y32" s="37">
        <f t="shared" si="6"/>
        <v>159.5</v>
      </c>
      <c r="Z32" s="30">
        <f t="shared" si="7"/>
        <v>6.38</v>
      </c>
      <c r="AA32" s="29">
        <f t="shared" si="8"/>
        <v>797.5</v>
      </c>
    </row>
    <row r="33" spans="1:27" ht="15">
      <c r="A33" s="33">
        <v>31</v>
      </c>
      <c r="B33" s="31" t="str">
        <f>'март-май 2024'!P37</f>
        <v>Крупа гречневая, в инд. уп.</v>
      </c>
      <c r="C33" s="32" t="str">
        <f>'март-май 2024'!Q37</f>
        <v>кг</v>
      </c>
      <c r="D33" s="46">
        <f>'март-май 2024'!R37</f>
        <v>85</v>
      </c>
      <c r="E33" s="232">
        <v>22</v>
      </c>
      <c r="F33" s="30">
        <v>1.88</v>
      </c>
      <c r="G33" s="232"/>
      <c r="H33" s="30">
        <f t="shared" si="9"/>
        <v>0</v>
      </c>
      <c r="I33" s="232"/>
      <c r="J33" s="30">
        <f t="shared" si="10"/>
        <v>0</v>
      </c>
      <c r="K33" s="232"/>
      <c r="L33" s="30">
        <f t="shared" si="11"/>
        <v>0</v>
      </c>
      <c r="M33" s="238"/>
      <c r="N33" s="30">
        <f t="shared" si="12"/>
        <v>0</v>
      </c>
      <c r="O33" s="232"/>
      <c r="P33" s="30">
        <f t="shared" si="1"/>
        <v>0</v>
      </c>
      <c r="Q33" s="232"/>
      <c r="R33" s="30">
        <f t="shared" si="2"/>
        <v>0</v>
      </c>
      <c r="S33" s="232"/>
      <c r="T33" s="30">
        <f t="shared" si="3"/>
        <v>0</v>
      </c>
      <c r="U33" s="232"/>
      <c r="V33" s="30">
        <f t="shared" si="4"/>
        <v>0</v>
      </c>
      <c r="W33" s="232"/>
      <c r="X33" s="30">
        <f t="shared" si="5"/>
        <v>0</v>
      </c>
      <c r="Y33" s="37">
        <f t="shared" si="6"/>
        <v>22</v>
      </c>
      <c r="Z33" s="30">
        <f t="shared" si="7"/>
        <v>1.87</v>
      </c>
      <c r="AA33" s="29">
        <f t="shared" si="8"/>
        <v>110</v>
      </c>
    </row>
    <row r="34" spans="1:27" ht="15">
      <c r="A34" s="33">
        <v>32</v>
      </c>
      <c r="B34" s="31" t="str">
        <f>'март-май 2024'!P38</f>
        <v>Крупа манная (1 сорт), в инд. уп.</v>
      </c>
      <c r="C34" s="32" t="str">
        <f>'март-май 2024'!Q38</f>
        <v>кг</v>
      </c>
      <c r="D34" s="46">
        <f>'март-май 2024'!R38</f>
        <v>58</v>
      </c>
      <c r="E34" s="232"/>
      <c r="F34" s="30">
        <f t="shared" si="0"/>
        <v>0</v>
      </c>
      <c r="G34" s="232"/>
      <c r="H34" s="30">
        <f t="shared" si="9"/>
        <v>0</v>
      </c>
      <c r="I34" s="232"/>
      <c r="J34" s="30">
        <f t="shared" si="10"/>
        <v>0</v>
      </c>
      <c r="K34" s="232"/>
      <c r="L34" s="30">
        <f t="shared" si="11"/>
        <v>0</v>
      </c>
      <c r="M34" s="238"/>
      <c r="N34" s="30">
        <f t="shared" si="12"/>
        <v>0</v>
      </c>
      <c r="O34" s="232">
        <v>20</v>
      </c>
      <c r="P34" s="30">
        <f t="shared" si="1"/>
        <v>1.16</v>
      </c>
      <c r="Q34" s="232"/>
      <c r="R34" s="30">
        <f t="shared" si="2"/>
        <v>0</v>
      </c>
      <c r="S34" s="232"/>
      <c r="T34" s="30">
        <f t="shared" si="3"/>
        <v>0</v>
      </c>
      <c r="U34" s="232"/>
      <c r="V34" s="30">
        <f t="shared" si="4"/>
        <v>0</v>
      </c>
      <c r="W34" s="232"/>
      <c r="X34" s="30">
        <f t="shared" si="5"/>
        <v>0</v>
      </c>
      <c r="Y34" s="37">
        <f t="shared" si="6"/>
        <v>20</v>
      </c>
      <c r="Z34" s="30">
        <f t="shared" si="7"/>
        <v>1.16</v>
      </c>
      <c r="AA34" s="29">
        <f t="shared" si="8"/>
        <v>100</v>
      </c>
    </row>
    <row r="35" spans="1:27" ht="15">
      <c r="A35" s="33">
        <v>33</v>
      </c>
      <c r="B35" s="31" t="str">
        <f>'март-май 2024'!P39</f>
        <v>Рис (1 сорт), в инд. уп.</v>
      </c>
      <c r="C35" s="32" t="str">
        <f>'март-май 2024'!Q39</f>
        <v>кг</v>
      </c>
      <c r="D35" s="46">
        <f>'март-май 2024'!R39</f>
        <v>116</v>
      </c>
      <c r="E35" s="232"/>
      <c r="F35" s="30">
        <f t="shared" si="0"/>
        <v>0</v>
      </c>
      <c r="G35" s="232"/>
      <c r="H35" s="30">
        <f t="shared" si="9"/>
        <v>0</v>
      </c>
      <c r="I35" s="232"/>
      <c r="J35" s="30">
        <f t="shared" si="10"/>
        <v>0</v>
      </c>
      <c r="K35" s="232"/>
      <c r="L35" s="30">
        <f t="shared" si="11"/>
        <v>0</v>
      </c>
      <c r="M35" s="238">
        <v>18</v>
      </c>
      <c r="N35" s="30">
        <f t="shared" si="12"/>
        <v>2.09</v>
      </c>
      <c r="O35" s="232"/>
      <c r="P35" s="30">
        <f t="shared" si="1"/>
        <v>0</v>
      </c>
      <c r="Q35" s="232"/>
      <c r="R35" s="30">
        <f t="shared" si="2"/>
        <v>0</v>
      </c>
      <c r="S35" s="232"/>
      <c r="T35" s="30">
        <f t="shared" si="3"/>
        <v>0</v>
      </c>
      <c r="U35" s="232"/>
      <c r="V35" s="30">
        <f t="shared" si="4"/>
        <v>0</v>
      </c>
      <c r="W35" s="232"/>
      <c r="X35" s="30">
        <f t="shared" si="5"/>
        <v>0</v>
      </c>
      <c r="Y35" s="37">
        <f t="shared" si="6"/>
        <v>18</v>
      </c>
      <c r="Z35" s="30">
        <f t="shared" si="7"/>
        <v>2.09</v>
      </c>
      <c r="AA35" s="29">
        <f t="shared" si="8"/>
        <v>90</v>
      </c>
    </row>
    <row r="36" spans="1:27" ht="15">
      <c r="A36" s="33">
        <v>34</v>
      </c>
      <c r="B36" s="31" t="str">
        <f>'март-май 2024'!P40</f>
        <v>Крупа пшеничная (1 сорт), в инд уп.</v>
      </c>
      <c r="C36" s="32" t="str">
        <f>'март-май 2024'!Q40</f>
        <v>кг</v>
      </c>
      <c r="D36" s="46">
        <f>'март-май 2024'!R40</f>
        <v>58</v>
      </c>
      <c r="E36" s="232"/>
      <c r="F36" s="30">
        <f t="shared" si="0"/>
        <v>0</v>
      </c>
      <c r="G36" s="232"/>
      <c r="H36" s="30">
        <f t="shared" si="9"/>
        <v>0</v>
      </c>
      <c r="I36" s="232"/>
      <c r="J36" s="30">
        <f t="shared" si="10"/>
        <v>0</v>
      </c>
      <c r="K36" s="232"/>
      <c r="L36" s="30">
        <f t="shared" si="11"/>
        <v>0</v>
      </c>
      <c r="M36" s="238"/>
      <c r="N36" s="30">
        <f t="shared" si="12"/>
        <v>0</v>
      </c>
      <c r="O36" s="232"/>
      <c r="P36" s="30">
        <f t="shared" si="1"/>
        <v>0</v>
      </c>
      <c r="Q36" s="232"/>
      <c r="R36" s="30">
        <f t="shared" si="2"/>
        <v>0</v>
      </c>
      <c r="S36" s="232"/>
      <c r="T36" s="30">
        <f t="shared" si="3"/>
        <v>0</v>
      </c>
      <c r="U36" s="232"/>
      <c r="V36" s="30">
        <f t="shared" si="4"/>
        <v>0</v>
      </c>
      <c r="W36" s="232"/>
      <c r="X36" s="30">
        <f t="shared" si="5"/>
        <v>0</v>
      </c>
      <c r="Y36" s="37">
        <f t="shared" si="6"/>
        <v>0</v>
      </c>
      <c r="Z36" s="30">
        <f aca="true" t="shared" si="13" ref="Z36:Z55">Y36*D36/1000</f>
        <v>0</v>
      </c>
      <c r="AA36" s="29">
        <f t="shared" si="8"/>
        <v>0</v>
      </c>
    </row>
    <row r="37" spans="1:27" ht="15">
      <c r="A37" s="33">
        <v>35</v>
      </c>
      <c r="B37" s="31" t="str">
        <f>'март-май 2024'!P41</f>
        <v>Пшено (1 сорт), в инд. уп.</v>
      </c>
      <c r="C37" s="32" t="str">
        <f>'март-май 2024'!Q41</f>
        <v>кг</v>
      </c>
      <c r="D37" s="46">
        <f>'март-май 2024'!R41</f>
        <v>57</v>
      </c>
      <c r="E37" s="232"/>
      <c r="F37" s="30">
        <f t="shared" si="0"/>
        <v>0</v>
      </c>
      <c r="G37" s="232"/>
      <c r="H37" s="30">
        <f t="shared" si="9"/>
        <v>0</v>
      </c>
      <c r="I37" s="232"/>
      <c r="J37" s="30">
        <f t="shared" si="10"/>
        <v>0</v>
      </c>
      <c r="K37" s="232"/>
      <c r="L37" s="30">
        <f t="shared" si="11"/>
        <v>0</v>
      </c>
      <c r="M37" s="238"/>
      <c r="N37" s="30">
        <f t="shared" si="12"/>
        <v>0</v>
      </c>
      <c r="O37" s="232"/>
      <c r="P37" s="30">
        <f t="shared" si="1"/>
        <v>0</v>
      </c>
      <c r="Q37" s="232"/>
      <c r="R37" s="30">
        <f t="shared" si="2"/>
        <v>0</v>
      </c>
      <c r="S37" s="232"/>
      <c r="T37" s="30">
        <f t="shared" si="3"/>
        <v>0</v>
      </c>
      <c r="U37" s="232"/>
      <c r="V37" s="30">
        <f t="shared" si="4"/>
        <v>0</v>
      </c>
      <c r="W37" s="232"/>
      <c r="X37" s="30">
        <f t="shared" si="5"/>
        <v>0</v>
      </c>
      <c r="Y37" s="37">
        <f t="shared" si="6"/>
        <v>0</v>
      </c>
      <c r="Z37" s="30">
        <f t="shared" si="13"/>
        <v>0</v>
      </c>
      <c r="AA37" s="29">
        <f t="shared" si="8"/>
        <v>0</v>
      </c>
    </row>
    <row r="38" spans="1:27" ht="15">
      <c r="A38" s="33">
        <v>36</v>
      </c>
      <c r="B38" s="31" t="str">
        <f>'март-май 2024'!P42</f>
        <v>Горох шлифованный, в инд. уп.</v>
      </c>
      <c r="C38" s="32" t="str">
        <f>'март-май 2024'!Q42</f>
        <v>кг</v>
      </c>
      <c r="D38" s="46">
        <f>'март-май 2024'!R42</f>
        <v>54</v>
      </c>
      <c r="E38" s="232"/>
      <c r="F38" s="30">
        <f t="shared" si="0"/>
        <v>0</v>
      </c>
      <c r="G38" s="232"/>
      <c r="H38" s="30">
        <f t="shared" si="9"/>
        <v>0</v>
      </c>
      <c r="I38" s="232"/>
      <c r="J38" s="30">
        <f t="shared" si="10"/>
        <v>0</v>
      </c>
      <c r="K38" s="232"/>
      <c r="L38" s="30">
        <f t="shared" si="11"/>
        <v>0</v>
      </c>
      <c r="M38" s="238"/>
      <c r="N38" s="30">
        <f t="shared" si="12"/>
        <v>0</v>
      </c>
      <c r="O38" s="232"/>
      <c r="P38" s="30">
        <f t="shared" si="1"/>
        <v>0</v>
      </c>
      <c r="Q38" s="232"/>
      <c r="R38" s="30">
        <f t="shared" si="2"/>
        <v>0</v>
      </c>
      <c r="S38" s="232"/>
      <c r="T38" s="30">
        <f t="shared" si="3"/>
        <v>0</v>
      </c>
      <c r="U38" s="232"/>
      <c r="V38" s="30">
        <f t="shared" si="4"/>
        <v>0</v>
      </c>
      <c r="W38" s="232"/>
      <c r="X38" s="30">
        <f t="shared" si="5"/>
        <v>0</v>
      </c>
      <c r="Y38" s="37">
        <f t="shared" si="6"/>
        <v>0</v>
      </c>
      <c r="Z38" s="30">
        <f t="shared" si="13"/>
        <v>0</v>
      </c>
      <c r="AA38" s="29">
        <f t="shared" si="8"/>
        <v>0</v>
      </c>
    </row>
    <row r="39" spans="1:27" ht="15">
      <c r="A39" s="33">
        <v>37</v>
      </c>
      <c r="B39" s="31" t="str">
        <f>'март-май 2024'!P43</f>
        <v>Крупа перловая, в инд. уп.</v>
      </c>
      <c r="C39" s="32" t="str">
        <f>'март-май 2024'!Q43</f>
        <v>кг</v>
      </c>
      <c r="D39" s="46">
        <f>'март-май 2024'!R43</f>
        <v>48</v>
      </c>
      <c r="E39" s="232"/>
      <c r="F39" s="30">
        <f t="shared" si="0"/>
        <v>0</v>
      </c>
      <c r="G39" s="232"/>
      <c r="H39" s="30">
        <f t="shared" si="9"/>
        <v>0</v>
      </c>
      <c r="I39" s="232"/>
      <c r="J39" s="30">
        <f t="shared" si="10"/>
        <v>0</v>
      </c>
      <c r="K39" s="232"/>
      <c r="L39" s="30">
        <f t="shared" si="11"/>
        <v>0</v>
      </c>
      <c r="M39" s="238"/>
      <c r="N39" s="30">
        <f t="shared" si="12"/>
        <v>0</v>
      </c>
      <c r="O39" s="232"/>
      <c r="P39" s="30">
        <f t="shared" si="1"/>
        <v>0</v>
      </c>
      <c r="Q39" s="232"/>
      <c r="R39" s="30">
        <f t="shared" si="2"/>
        <v>0</v>
      </c>
      <c r="S39" s="232"/>
      <c r="T39" s="30">
        <f t="shared" si="3"/>
        <v>0</v>
      </c>
      <c r="U39" s="232"/>
      <c r="V39" s="30">
        <f t="shared" si="4"/>
        <v>0</v>
      </c>
      <c r="W39" s="232"/>
      <c r="X39" s="30">
        <f t="shared" si="5"/>
        <v>0</v>
      </c>
      <c r="Y39" s="37">
        <f t="shared" si="6"/>
        <v>0</v>
      </c>
      <c r="Z39" s="30">
        <f t="shared" si="13"/>
        <v>0</v>
      </c>
      <c r="AA39" s="29">
        <f t="shared" si="8"/>
        <v>0</v>
      </c>
    </row>
    <row r="40" spans="1:27" ht="15">
      <c r="A40" s="33">
        <v>38</v>
      </c>
      <c r="B40" s="31" t="str">
        <f>'март-май 2024'!P44</f>
        <v>Крупа ячневая, в инд. уп.</v>
      </c>
      <c r="C40" s="32" t="str">
        <f>'март-май 2024'!Q44</f>
        <v>кг</v>
      </c>
      <c r="D40" s="46">
        <f>'март-май 2024'!R44</f>
        <v>48</v>
      </c>
      <c r="E40" s="232"/>
      <c r="F40" s="30">
        <f t="shared" si="0"/>
        <v>0</v>
      </c>
      <c r="G40" s="232"/>
      <c r="H40" s="30">
        <f t="shared" si="9"/>
        <v>0</v>
      </c>
      <c r="I40" s="232"/>
      <c r="J40" s="30">
        <f t="shared" si="10"/>
        <v>0</v>
      </c>
      <c r="K40" s="232"/>
      <c r="L40" s="30">
        <f t="shared" si="11"/>
        <v>0</v>
      </c>
      <c r="M40" s="238"/>
      <c r="N40" s="30">
        <f t="shared" si="12"/>
        <v>0</v>
      </c>
      <c r="O40" s="232"/>
      <c r="P40" s="30">
        <f t="shared" si="1"/>
        <v>0</v>
      </c>
      <c r="Q40" s="232"/>
      <c r="R40" s="30">
        <f t="shared" si="2"/>
        <v>0</v>
      </c>
      <c r="S40" s="232"/>
      <c r="T40" s="30">
        <f t="shared" si="3"/>
        <v>0</v>
      </c>
      <c r="U40" s="232"/>
      <c r="V40" s="30">
        <f t="shared" si="4"/>
        <v>0</v>
      </c>
      <c r="W40" s="232"/>
      <c r="X40" s="30">
        <f t="shared" si="5"/>
        <v>0</v>
      </c>
      <c r="Y40" s="37">
        <f t="shared" si="6"/>
        <v>0</v>
      </c>
      <c r="Z40" s="30">
        <f t="shared" si="13"/>
        <v>0</v>
      </c>
      <c r="AA40" s="29">
        <f t="shared" si="8"/>
        <v>0</v>
      </c>
    </row>
    <row r="41" spans="1:27" ht="15">
      <c r="A41" s="33">
        <v>39</v>
      </c>
      <c r="B41" s="31" t="str">
        <f>'март-май 2024'!P45</f>
        <v>Хлопья "Геркулес", в инд. уп.</v>
      </c>
      <c r="C41" s="32" t="str">
        <f>'март-май 2024'!Q45</f>
        <v>кг</v>
      </c>
      <c r="D41" s="46">
        <f>'март-май 2024'!R45</f>
        <v>76</v>
      </c>
      <c r="E41" s="232"/>
      <c r="F41" s="30">
        <f t="shared" si="0"/>
        <v>0</v>
      </c>
      <c r="G41" s="232"/>
      <c r="H41" s="30">
        <f t="shared" si="9"/>
        <v>0</v>
      </c>
      <c r="I41" s="232"/>
      <c r="J41" s="30">
        <f t="shared" si="10"/>
        <v>0</v>
      </c>
      <c r="K41" s="232"/>
      <c r="L41" s="30">
        <f t="shared" si="11"/>
        <v>0</v>
      </c>
      <c r="M41" s="238"/>
      <c r="N41" s="30">
        <f t="shared" si="12"/>
        <v>0</v>
      </c>
      <c r="O41" s="232"/>
      <c r="P41" s="30">
        <f t="shared" si="1"/>
        <v>0</v>
      </c>
      <c r="Q41" s="232"/>
      <c r="R41" s="30">
        <f t="shared" si="2"/>
        <v>0</v>
      </c>
      <c r="S41" s="232"/>
      <c r="T41" s="30">
        <f t="shared" si="3"/>
        <v>0</v>
      </c>
      <c r="U41" s="232"/>
      <c r="V41" s="30">
        <f t="shared" si="4"/>
        <v>0</v>
      </c>
      <c r="W41" s="232"/>
      <c r="X41" s="30">
        <f t="shared" si="5"/>
        <v>0</v>
      </c>
      <c r="Y41" s="37">
        <f t="shared" si="6"/>
        <v>0</v>
      </c>
      <c r="Z41" s="30">
        <f t="shared" si="13"/>
        <v>0</v>
      </c>
      <c r="AA41" s="29">
        <f t="shared" si="8"/>
        <v>0</v>
      </c>
    </row>
    <row r="42" spans="1:27" ht="15">
      <c r="A42" s="33">
        <v>40</v>
      </c>
      <c r="B42" s="31" t="str">
        <f>'март-май 2024'!P46</f>
        <v>Сахар-песок</v>
      </c>
      <c r="C42" s="32" t="str">
        <f>'март-май 2024'!Q46</f>
        <v>кг</v>
      </c>
      <c r="D42" s="46">
        <f>'март-май 2024'!R46</f>
        <v>85</v>
      </c>
      <c r="E42" s="232">
        <f>3.5+5+10</f>
        <v>18.5</v>
      </c>
      <c r="F42" s="30">
        <f t="shared" si="0"/>
        <v>1.57</v>
      </c>
      <c r="G42" s="232">
        <v>10</v>
      </c>
      <c r="H42" s="30">
        <f t="shared" si="9"/>
        <v>0.85</v>
      </c>
      <c r="I42" s="232">
        <f>2+10</f>
        <v>12</v>
      </c>
      <c r="J42" s="30">
        <f t="shared" si="10"/>
        <v>1.02</v>
      </c>
      <c r="K42" s="232">
        <f>3+11</f>
        <v>14</v>
      </c>
      <c r="L42" s="30">
        <f t="shared" si="11"/>
        <v>1.19</v>
      </c>
      <c r="M42" s="238">
        <f>4+3+11</f>
        <v>18</v>
      </c>
      <c r="N42" s="30">
        <f t="shared" si="12"/>
        <v>1.53</v>
      </c>
      <c r="O42" s="232">
        <f>4+1+0.5+12</f>
        <v>17.5</v>
      </c>
      <c r="P42" s="30">
        <f t="shared" si="1"/>
        <v>1.49</v>
      </c>
      <c r="Q42" s="232">
        <f>4+10</f>
        <v>14</v>
      </c>
      <c r="R42" s="30">
        <f t="shared" si="2"/>
        <v>1.19</v>
      </c>
      <c r="S42" s="232">
        <v>10</v>
      </c>
      <c r="T42" s="30">
        <f t="shared" si="3"/>
        <v>0.85</v>
      </c>
      <c r="U42" s="232">
        <v>11</v>
      </c>
      <c r="V42" s="30">
        <f t="shared" si="4"/>
        <v>0.94</v>
      </c>
      <c r="W42" s="232">
        <v>11</v>
      </c>
      <c r="X42" s="30">
        <f t="shared" si="5"/>
        <v>0.94</v>
      </c>
      <c r="Y42" s="37">
        <f t="shared" si="6"/>
        <v>136</v>
      </c>
      <c r="Z42" s="30">
        <f t="shared" si="13"/>
        <v>11.56</v>
      </c>
      <c r="AA42" s="29">
        <f t="shared" si="8"/>
        <v>680</v>
      </c>
    </row>
    <row r="43" spans="1:27" ht="15">
      <c r="A43" s="33">
        <v>41</v>
      </c>
      <c r="B43" s="31" t="str">
        <f>'март-май 2024'!P47</f>
        <v>Макароны (высший сорт)</v>
      </c>
      <c r="C43" s="32" t="str">
        <f>'март-май 2024'!Q47</f>
        <v>кг</v>
      </c>
      <c r="D43" s="46">
        <f>'март-май 2024'!R47</f>
        <v>46</v>
      </c>
      <c r="E43" s="232"/>
      <c r="F43" s="30">
        <f t="shared" si="0"/>
        <v>0</v>
      </c>
      <c r="G43" s="232"/>
      <c r="H43" s="30">
        <f t="shared" si="9"/>
        <v>0</v>
      </c>
      <c r="I43" s="232"/>
      <c r="J43" s="30">
        <f t="shared" si="10"/>
        <v>0</v>
      </c>
      <c r="K43" s="232"/>
      <c r="L43" s="30">
        <f t="shared" si="11"/>
        <v>0</v>
      </c>
      <c r="M43" s="238"/>
      <c r="N43" s="30">
        <f t="shared" si="12"/>
        <v>0</v>
      </c>
      <c r="O43" s="232"/>
      <c r="P43" s="30">
        <f t="shared" si="1"/>
        <v>0</v>
      </c>
      <c r="Q43" s="232"/>
      <c r="R43" s="30">
        <f t="shared" si="2"/>
        <v>0</v>
      </c>
      <c r="S43" s="232"/>
      <c r="T43" s="30">
        <f t="shared" si="3"/>
        <v>0</v>
      </c>
      <c r="U43" s="232">
        <v>64</v>
      </c>
      <c r="V43" s="30">
        <f t="shared" si="4"/>
        <v>2.94</v>
      </c>
      <c r="W43" s="232"/>
      <c r="X43" s="30">
        <f t="shared" si="5"/>
        <v>0</v>
      </c>
      <c r="Y43" s="37">
        <f t="shared" si="6"/>
        <v>64</v>
      </c>
      <c r="Z43" s="30">
        <f t="shared" si="13"/>
        <v>2.94</v>
      </c>
      <c r="AA43" s="29">
        <f t="shared" si="8"/>
        <v>320</v>
      </c>
    </row>
    <row r="44" spans="1:27" ht="15">
      <c r="A44" s="33">
        <v>42</v>
      </c>
      <c r="B44" s="31" t="str">
        <f>'март-май 2024'!P48</f>
        <v>Вермишель (высший сорт)</v>
      </c>
      <c r="C44" s="32" t="str">
        <f>'март-май 2024'!Q48</f>
        <v>кг</v>
      </c>
      <c r="D44" s="46">
        <f>'март-май 2024'!R48</f>
        <v>47</v>
      </c>
      <c r="E44" s="232"/>
      <c r="F44" s="30">
        <f t="shared" si="0"/>
        <v>0</v>
      </c>
      <c r="G44" s="232"/>
      <c r="H44" s="30">
        <f t="shared" si="9"/>
        <v>0</v>
      </c>
      <c r="I44" s="232"/>
      <c r="J44" s="30">
        <f t="shared" si="10"/>
        <v>0</v>
      </c>
      <c r="K44" s="232">
        <v>28</v>
      </c>
      <c r="L44" s="30">
        <v>1.33</v>
      </c>
      <c r="M44" s="238"/>
      <c r="N44" s="30">
        <f t="shared" si="12"/>
        <v>0</v>
      </c>
      <c r="O44" s="232"/>
      <c r="P44" s="30">
        <f t="shared" si="1"/>
        <v>0</v>
      </c>
      <c r="Q44" s="232"/>
      <c r="R44" s="30">
        <f t="shared" si="2"/>
        <v>0</v>
      </c>
      <c r="S44" s="232"/>
      <c r="T44" s="30">
        <f t="shared" si="3"/>
        <v>0</v>
      </c>
      <c r="U44" s="232"/>
      <c r="V44" s="30">
        <f t="shared" si="4"/>
        <v>0</v>
      </c>
      <c r="W44" s="232"/>
      <c r="X44" s="30">
        <f t="shared" si="5"/>
        <v>0</v>
      </c>
      <c r="Y44" s="37">
        <f t="shared" si="6"/>
        <v>28</v>
      </c>
      <c r="Z44" s="30">
        <f t="shared" si="13"/>
        <v>1.32</v>
      </c>
      <c r="AA44" s="29">
        <f t="shared" si="8"/>
        <v>140</v>
      </c>
    </row>
    <row r="45" spans="1:27" ht="15">
      <c r="A45" s="33">
        <v>43</v>
      </c>
      <c r="B45" s="31" t="str">
        <f>'март-май 2024'!P49</f>
        <v>Дрожжи сухие</v>
      </c>
      <c r="C45" s="32" t="str">
        <f>'март-май 2024'!Q49</f>
        <v>кг</v>
      </c>
      <c r="D45" s="46">
        <f>'март-май 2024'!R49</f>
        <v>377</v>
      </c>
      <c r="E45" s="232">
        <v>0.3</v>
      </c>
      <c r="F45" s="30">
        <f t="shared" si="0"/>
        <v>0.11</v>
      </c>
      <c r="G45" s="232"/>
      <c r="H45" s="30">
        <f t="shared" si="9"/>
        <v>0</v>
      </c>
      <c r="I45" s="232">
        <v>0.7</v>
      </c>
      <c r="J45" s="30">
        <f t="shared" si="10"/>
        <v>0.26</v>
      </c>
      <c r="K45" s="232"/>
      <c r="L45" s="30">
        <f t="shared" si="11"/>
        <v>0</v>
      </c>
      <c r="M45" s="238">
        <v>0.35</v>
      </c>
      <c r="N45" s="30">
        <f t="shared" si="12"/>
        <v>0.13</v>
      </c>
      <c r="O45" s="232">
        <v>0.5</v>
      </c>
      <c r="P45" s="30">
        <f t="shared" si="1"/>
        <v>0.19</v>
      </c>
      <c r="Q45" s="232"/>
      <c r="R45" s="30">
        <f t="shared" si="2"/>
        <v>0</v>
      </c>
      <c r="S45" s="232"/>
      <c r="T45" s="30">
        <f t="shared" si="3"/>
        <v>0</v>
      </c>
      <c r="U45" s="232"/>
      <c r="V45" s="30">
        <f t="shared" si="4"/>
        <v>0</v>
      </c>
      <c r="W45" s="232"/>
      <c r="X45" s="30">
        <f t="shared" si="5"/>
        <v>0</v>
      </c>
      <c r="Y45" s="37">
        <f t="shared" si="6"/>
        <v>1.85</v>
      </c>
      <c r="Z45" s="30">
        <f t="shared" si="13"/>
        <v>0.7</v>
      </c>
      <c r="AA45" s="29">
        <f t="shared" si="8"/>
        <v>9.25</v>
      </c>
    </row>
    <row r="46" spans="1:27" ht="15">
      <c r="A46" s="33">
        <v>44</v>
      </c>
      <c r="B46" s="31" t="str">
        <f>'март-май 2024'!P50</f>
        <v>Соль йодированная</v>
      </c>
      <c r="C46" s="32" t="str">
        <f>'март-май 2024'!Q50</f>
        <v>кг</v>
      </c>
      <c r="D46" s="46">
        <f>'март-май 2024'!R50</f>
        <v>27</v>
      </c>
      <c r="E46" s="232"/>
      <c r="F46" s="30">
        <f t="shared" si="0"/>
        <v>0</v>
      </c>
      <c r="G46" s="232"/>
      <c r="H46" s="30">
        <f t="shared" si="9"/>
        <v>0</v>
      </c>
      <c r="I46" s="232"/>
      <c r="J46" s="30">
        <f t="shared" si="10"/>
        <v>0</v>
      </c>
      <c r="K46" s="232"/>
      <c r="L46" s="30">
        <f t="shared" si="11"/>
        <v>0</v>
      </c>
      <c r="M46" s="238"/>
      <c r="N46" s="30">
        <f t="shared" si="12"/>
        <v>0</v>
      </c>
      <c r="O46" s="232"/>
      <c r="P46" s="30">
        <f t="shared" si="1"/>
        <v>0</v>
      </c>
      <c r="Q46" s="232">
        <v>0.5</v>
      </c>
      <c r="R46" s="30">
        <f t="shared" si="2"/>
        <v>0.01</v>
      </c>
      <c r="S46" s="232"/>
      <c r="T46" s="30">
        <f t="shared" si="3"/>
        <v>0</v>
      </c>
      <c r="U46" s="232">
        <v>0.5</v>
      </c>
      <c r="V46" s="30">
        <f t="shared" si="4"/>
        <v>0.01</v>
      </c>
      <c r="W46" s="232">
        <v>1</v>
      </c>
      <c r="X46" s="30">
        <f t="shared" si="5"/>
        <v>0.03</v>
      </c>
      <c r="Y46" s="37">
        <f t="shared" si="6"/>
        <v>2</v>
      </c>
      <c r="Z46" s="30">
        <f t="shared" si="13"/>
        <v>0.05</v>
      </c>
      <c r="AA46" s="29">
        <f t="shared" si="8"/>
        <v>10</v>
      </c>
    </row>
    <row r="47" spans="1:27" ht="13.5" customHeight="1">
      <c r="A47" s="33">
        <v>45</v>
      </c>
      <c r="B47" s="31">
        <f>'март-май 2024'!P51</f>
        <v>0</v>
      </c>
      <c r="C47" s="32">
        <f>'март-май 2024'!Q51</f>
        <v>0</v>
      </c>
      <c r="D47" s="46">
        <f>'март-май 2024'!R51</f>
        <v>0</v>
      </c>
      <c r="E47" s="232"/>
      <c r="F47" s="30">
        <f t="shared" si="0"/>
        <v>0</v>
      </c>
      <c r="G47" s="232"/>
      <c r="H47" s="30">
        <f t="shared" si="9"/>
        <v>0</v>
      </c>
      <c r="I47" s="232"/>
      <c r="J47" s="30">
        <f t="shared" si="10"/>
        <v>0</v>
      </c>
      <c r="K47" s="232"/>
      <c r="L47" s="30">
        <f t="shared" si="11"/>
        <v>0</v>
      </c>
      <c r="M47" s="238"/>
      <c r="N47" s="30">
        <f t="shared" si="12"/>
        <v>0</v>
      </c>
      <c r="O47" s="232"/>
      <c r="P47" s="30">
        <f t="shared" si="1"/>
        <v>0</v>
      </c>
      <c r="Q47" s="232"/>
      <c r="R47" s="30">
        <f t="shared" si="2"/>
        <v>0</v>
      </c>
      <c r="S47" s="232"/>
      <c r="T47" s="30">
        <f t="shared" si="3"/>
        <v>0</v>
      </c>
      <c r="U47" s="232"/>
      <c r="V47" s="30">
        <f t="shared" si="4"/>
        <v>0</v>
      </c>
      <c r="W47" s="232"/>
      <c r="X47" s="30">
        <f t="shared" si="5"/>
        <v>0</v>
      </c>
      <c r="Y47" s="37">
        <f t="shared" si="6"/>
        <v>0</v>
      </c>
      <c r="Z47" s="30">
        <f t="shared" si="13"/>
        <v>0</v>
      </c>
      <c r="AA47" s="29">
        <f t="shared" si="8"/>
        <v>0</v>
      </c>
    </row>
    <row r="48" spans="1:27" ht="15">
      <c r="A48" s="33">
        <v>46</v>
      </c>
      <c r="B48" s="31" t="str">
        <f>'март-май 2024'!P52</f>
        <v>Кофейный напиток (ячменный)</v>
      </c>
      <c r="C48" s="32" t="str">
        <f>'март-май 2024'!Q52</f>
        <v>кг</v>
      </c>
      <c r="D48" s="46">
        <f>'март-май 2024'!R52</f>
        <v>467</v>
      </c>
      <c r="E48" s="232"/>
      <c r="F48" s="30">
        <f t="shared" si="0"/>
        <v>0</v>
      </c>
      <c r="G48" s="232"/>
      <c r="H48" s="30">
        <f t="shared" si="9"/>
        <v>0</v>
      </c>
      <c r="I48" s="232"/>
      <c r="J48" s="30">
        <f t="shared" si="10"/>
        <v>0</v>
      </c>
      <c r="K48" s="232"/>
      <c r="L48" s="30">
        <f t="shared" si="11"/>
        <v>0</v>
      </c>
      <c r="M48" s="238"/>
      <c r="N48" s="30">
        <f t="shared" si="12"/>
        <v>0</v>
      </c>
      <c r="O48" s="232"/>
      <c r="P48" s="30">
        <f t="shared" si="1"/>
        <v>0</v>
      </c>
      <c r="Q48" s="232"/>
      <c r="R48" s="30">
        <f t="shared" si="2"/>
        <v>0</v>
      </c>
      <c r="S48" s="232"/>
      <c r="T48" s="30">
        <f t="shared" si="3"/>
        <v>0</v>
      </c>
      <c r="U48" s="232"/>
      <c r="V48" s="30">
        <f t="shared" si="4"/>
        <v>0</v>
      </c>
      <c r="W48" s="232"/>
      <c r="X48" s="30">
        <f t="shared" si="5"/>
        <v>0</v>
      </c>
      <c r="Y48" s="37">
        <f t="shared" si="6"/>
        <v>0</v>
      </c>
      <c r="Z48" s="30">
        <f t="shared" si="13"/>
        <v>0</v>
      </c>
      <c r="AA48" s="29">
        <f t="shared" si="8"/>
        <v>0</v>
      </c>
    </row>
    <row r="49" spans="1:27" ht="15">
      <c r="A49" s="33">
        <v>47</v>
      </c>
      <c r="B49" s="31" t="str">
        <f>'март-май 2024'!P53</f>
        <v>Какао порошок</v>
      </c>
      <c r="C49" s="32" t="str">
        <f>'март-май 2024'!Q53</f>
        <v>кг</v>
      </c>
      <c r="D49" s="46">
        <f>'март-май 2024'!R53</f>
        <v>403</v>
      </c>
      <c r="E49" s="232"/>
      <c r="F49" s="30">
        <f t="shared" si="0"/>
        <v>0</v>
      </c>
      <c r="G49" s="232"/>
      <c r="H49" s="30">
        <f t="shared" si="9"/>
        <v>0</v>
      </c>
      <c r="I49" s="232"/>
      <c r="J49" s="30">
        <f t="shared" si="10"/>
        <v>0</v>
      </c>
      <c r="K49" s="232"/>
      <c r="L49" s="30">
        <f t="shared" si="11"/>
        <v>0</v>
      </c>
      <c r="M49" s="238"/>
      <c r="N49" s="30">
        <f t="shared" si="12"/>
        <v>0</v>
      </c>
      <c r="O49" s="232"/>
      <c r="P49" s="30">
        <f t="shared" si="1"/>
        <v>0</v>
      </c>
      <c r="Q49" s="232"/>
      <c r="R49" s="30">
        <f t="shared" si="2"/>
        <v>0</v>
      </c>
      <c r="S49" s="232"/>
      <c r="T49" s="30">
        <f t="shared" si="3"/>
        <v>0</v>
      </c>
      <c r="U49" s="232"/>
      <c r="V49" s="30">
        <f t="shared" si="4"/>
        <v>0</v>
      </c>
      <c r="W49" s="232"/>
      <c r="X49" s="30">
        <f t="shared" si="5"/>
        <v>0</v>
      </c>
      <c r="Y49" s="37">
        <f t="shared" si="6"/>
        <v>0</v>
      </c>
      <c r="Z49" s="30">
        <f t="shared" si="13"/>
        <v>0</v>
      </c>
      <c r="AA49" s="29">
        <f t="shared" si="8"/>
        <v>0</v>
      </c>
    </row>
    <row r="50" spans="1:27" ht="15">
      <c r="A50" s="33">
        <v>48</v>
      </c>
      <c r="B50" s="31" t="str">
        <f>'март-май 2024'!P54</f>
        <v>Чай черный (1 сорт)</v>
      </c>
      <c r="C50" s="32" t="str">
        <f>'март-май 2024'!Q54</f>
        <v>кг</v>
      </c>
      <c r="D50" s="46">
        <f>'март-май 2024'!R54</f>
        <v>507</v>
      </c>
      <c r="E50" s="232">
        <v>1</v>
      </c>
      <c r="F50" s="30">
        <f t="shared" si="0"/>
        <v>0.51</v>
      </c>
      <c r="G50" s="232">
        <v>0.8</v>
      </c>
      <c r="H50" s="30">
        <f t="shared" si="9"/>
        <v>0.41</v>
      </c>
      <c r="I50" s="232">
        <v>1</v>
      </c>
      <c r="J50" s="30">
        <f t="shared" si="10"/>
        <v>0.51</v>
      </c>
      <c r="K50" s="232">
        <v>0.8</v>
      </c>
      <c r="L50" s="30">
        <f t="shared" si="11"/>
        <v>0.41</v>
      </c>
      <c r="M50" s="238">
        <v>0.8</v>
      </c>
      <c r="N50" s="30">
        <f t="shared" si="12"/>
        <v>0.41</v>
      </c>
      <c r="O50" s="232">
        <v>0.9</v>
      </c>
      <c r="P50" s="30">
        <f t="shared" si="1"/>
        <v>0.46</v>
      </c>
      <c r="Q50" s="232">
        <v>1</v>
      </c>
      <c r="R50" s="30">
        <f t="shared" si="2"/>
        <v>0.51</v>
      </c>
      <c r="S50" s="232">
        <v>0.7</v>
      </c>
      <c r="T50" s="30">
        <f t="shared" si="3"/>
        <v>0.35</v>
      </c>
      <c r="U50" s="232">
        <v>1</v>
      </c>
      <c r="V50" s="30">
        <f t="shared" si="4"/>
        <v>0.51</v>
      </c>
      <c r="W50" s="232">
        <v>1</v>
      </c>
      <c r="X50" s="30">
        <f t="shared" si="5"/>
        <v>0.51</v>
      </c>
      <c r="Y50" s="37">
        <f t="shared" si="6"/>
        <v>9</v>
      </c>
      <c r="Z50" s="30">
        <f t="shared" si="13"/>
        <v>4.56</v>
      </c>
      <c r="AA50" s="29">
        <f t="shared" si="8"/>
        <v>45</v>
      </c>
    </row>
    <row r="51" spans="1:27" ht="15">
      <c r="A51" s="33">
        <v>49</v>
      </c>
      <c r="B51" s="31" t="str">
        <f>'март-май 2024'!P55</f>
        <v>Лавровый лист</v>
      </c>
      <c r="C51" s="32" t="str">
        <f>'март-май 2024'!Q55</f>
        <v>кг</v>
      </c>
      <c r="D51" s="46">
        <f>'март-май 2024'!R55</f>
        <v>617</v>
      </c>
      <c r="E51" s="232"/>
      <c r="F51" s="30">
        <f t="shared" si="0"/>
        <v>0</v>
      </c>
      <c r="G51" s="232"/>
      <c r="H51" s="30">
        <f t="shared" si="9"/>
        <v>0</v>
      </c>
      <c r="I51" s="232"/>
      <c r="J51" s="30">
        <f t="shared" si="10"/>
        <v>0</v>
      </c>
      <c r="K51" s="232"/>
      <c r="L51" s="30">
        <f t="shared" si="11"/>
        <v>0</v>
      </c>
      <c r="M51" s="238"/>
      <c r="N51" s="30">
        <f t="shared" si="12"/>
        <v>0</v>
      </c>
      <c r="O51" s="232"/>
      <c r="P51" s="30">
        <f t="shared" si="1"/>
        <v>0</v>
      </c>
      <c r="Q51" s="232"/>
      <c r="R51" s="30">
        <f t="shared" si="2"/>
        <v>0</v>
      </c>
      <c r="S51" s="232"/>
      <c r="T51" s="30">
        <f t="shared" si="3"/>
        <v>0</v>
      </c>
      <c r="U51" s="232"/>
      <c r="V51" s="30">
        <f t="shared" si="4"/>
        <v>0</v>
      </c>
      <c r="W51" s="232"/>
      <c r="X51" s="30">
        <f t="shared" si="5"/>
        <v>0</v>
      </c>
      <c r="Y51" s="37">
        <f t="shared" si="6"/>
        <v>0</v>
      </c>
      <c r="Z51" s="30">
        <f t="shared" si="13"/>
        <v>0</v>
      </c>
      <c r="AA51" s="29">
        <f t="shared" si="8"/>
        <v>0</v>
      </c>
    </row>
    <row r="52" spans="1:27" ht="15">
      <c r="A52" s="33">
        <v>50</v>
      </c>
      <c r="B52" s="31" t="str">
        <f>'март-май 2024'!P56</f>
        <v>Хлеб пшеничный</v>
      </c>
      <c r="C52" s="32" t="str">
        <f>'март-май 2024'!Q56</f>
        <v>кг</v>
      </c>
      <c r="D52" s="46">
        <f>'март-май 2024'!R56</f>
        <v>48</v>
      </c>
      <c r="E52" s="232"/>
      <c r="F52" s="30">
        <f t="shared" si="0"/>
        <v>0</v>
      </c>
      <c r="G52" s="232">
        <v>30</v>
      </c>
      <c r="H52" s="30">
        <f t="shared" si="9"/>
        <v>1.44</v>
      </c>
      <c r="I52" s="232"/>
      <c r="J52" s="30">
        <f t="shared" si="10"/>
        <v>0</v>
      </c>
      <c r="K52" s="232">
        <f>2+30</f>
        <v>32</v>
      </c>
      <c r="L52" s="30">
        <f t="shared" si="11"/>
        <v>1.54</v>
      </c>
      <c r="M52" s="238"/>
      <c r="N52" s="30">
        <f t="shared" si="12"/>
        <v>0</v>
      </c>
      <c r="O52" s="232"/>
      <c r="P52" s="30">
        <f t="shared" si="1"/>
        <v>0</v>
      </c>
      <c r="Q52" s="232">
        <v>4</v>
      </c>
      <c r="R52" s="30">
        <f t="shared" si="2"/>
        <v>0.19</v>
      </c>
      <c r="S52" s="232">
        <v>30</v>
      </c>
      <c r="T52" s="30">
        <f t="shared" si="3"/>
        <v>1.44</v>
      </c>
      <c r="U52" s="232">
        <v>44</v>
      </c>
      <c r="V52" s="30">
        <f t="shared" si="4"/>
        <v>2.11</v>
      </c>
      <c r="W52" s="232">
        <v>30</v>
      </c>
      <c r="X52" s="30">
        <f t="shared" si="5"/>
        <v>1.44</v>
      </c>
      <c r="Y52" s="37">
        <f t="shared" si="6"/>
        <v>170</v>
      </c>
      <c r="Z52" s="30">
        <f t="shared" si="13"/>
        <v>8.16</v>
      </c>
      <c r="AA52" s="29">
        <f t="shared" si="8"/>
        <v>850</v>
      </c>
    </row>
    <row r="53" spans="1:27" ht="15">
      <c r="A53" s="33">
        <v>51</v>
      </c>
      <c r="B53" s="31" t="str">
        <f>'март-май 2024'!P57</f>
        <v>Пряник 1 сорт</v>
      </c>
      <c r="C53" s="32" t="str">
        <f>'март-май 2024'!Q57</f>
        <v>кг</v>
      </c>
      <c r="D53" s="46">
        <f>'март-май 2024'!R57</f>
        <v>153</v>
      </c>
      <c r="E53" s="232"/>
      <c r="F53" s="30">
        <f t="shared" si="0"/>
        <v>0</v>
      </c>
      <c r="G53" s="232"/>
      <c r="H53" s="30">
        <f t="shared" si="9"/>
        <v>0</v>
      </c>
      <c r="I53" s="232"/>
      <c r="J53" s="30">
        <f t="shared" si="10"/>
        <v>0</v>
      </c>
      <c r="K53" s="232"/>
      <c r="L53" s="30">
        <f t="shared" si="11"/>
        <v>0</v>
      </c>
      <c r="M53" s="238"/>
      <c r="N53" s="30">
        <f t="shared" si="12"/>
        <v>0</v>
      </c>
      <c r="O53" s="232"/>
      <c r="P53" s="30">
        <f t="shared" si="1"/>
        <v>0</v>
      </c>
      <c r="Q53" s="232"/>
      <c r="R53" s="30">
        <f t="shared" si="2"/>
        <v>0</v>
      </c>
      <c r="S53" s="232"/>
      <c r="T53" s="30">
        <f t="shared" si="3"/>
        <v>0</v>
      </c>
      <c r="U53" s="232"/>
      <c r="V53" s="30">
        <f t="shared" si="4"/>
        <v>0</v>
      </c>
      <c r="W53" s="232"/>
      <c r="X53" s="30">
        <f t="shared" si="5"/>
        <v>0</v>
      </c>
      <c r="Y53" s="37">
        <f t="shared" si="6"/>
        <v>0</v>
      </c>
      <c r="Z53" s="30">
        <f t="shared" si="13"/>
        <v>0</v>
      </c>
      <c r="AA53" s="29">
        <f t="shared" si="8"/>
        <v>0</v>
      </c>
    </row>
    <row r="54" spans="1:27" ht="15">
      <c r="A54" s="33">
        <v>52</v>
      </c>
      <c r="B54" s="31" t="str">
        <f>'март-май 2024'!P59</f>
        <v>Фасоль сухая (1 сорт)</v>
      </c>
      <c r="C54" s="32" t="str">
        <f>'март-май 2024'!Q59</f>
        <v>кг</v>
      </c>
      <c r="D54" s="46">
        <f>'март-май 2024'!R59</f>
        <v>185</v>
      </c>
      <c r="E54" s="232"/>
      <c r="F54" s="30">
        <f t="shared" si="0"/>
        <v>0</v>
      </c>
      <c r="G54" s="232"/>
      <c r="H54" s="30">
        <f t="shared" si="9"/>
        <v>0</v>
      </c>
      <c r="I54" s="232"/>
      <c r="J54" s="30">
        <f t="shared" si="10"/>
        <v>0</v>
      </c>
      <c r="K54" s="232"/>
      <c r="L54" s="30">
        <f t="shared" si="11"/>
        <v>0</v>
      </c>
      <c r="M54" s="238"/>
      <c r="N54" s="30">
        <f t="shared" si="12"/>
        <v>0</v>
      </c>
      <c r="O54" s="232"/>
      <c r="P54" s="30">
        <f t="shared" si="1"/>
        <v>0</v>
      </c>
      <c r="Q54" s="232"/>
      <c r="R54" s="30">
        <f t="shared" si="2"/>
        <v>0</v>
      </c>
      <c r="S54" s="232"/>
      <c r="T54" s="30">
        <f t="shared" si="3"/>
        <v>0</v>
      </c>
      <c r="U54" s="232"/>
      <c r="V54" s="30">
        <f t="shared" si="4"/>
        <v>0</v>
      </c>
      <c r="W54" s="232"/>
      <c r="X54" s="30">
        <f t="shared" si="5"/>
        <v>0</v>
      </c>
      <c r="Y54" s="37">
        <f t="shared" si="6"/>
        <v>0</v>
      </c>
      <c r="Z54" s="30">
        <f t="shared" si="13"/>
        <v>0</v>
      </c>
      <c r="AA54" s="29">
        <f t="shared" si="8"/>
        <v>0</v>
      </c>
    </row>
    <row r="55" spans="1:27" ht="15">
      <c r="A55" s="33">
        <v>53</v>
      </c>
      <c r="B55" s="31" t="str">
        <f>'март-май 2024'!P58</f>
        <v>Лимон свежий (1 сорт)</v>
      </c>
      <c r="C55" s="32" t="str">
        <f>'март-май 2024'!Q58</f>
        <v>кг</v>
      </c>
      <c r="D55" s="46">
        <f>'март-май 2024'!R58</f>
        <v>220</v>
      </c>
      <c r="E55" s="232"/>
      <c r="F55" s="30">
        <f t="shared" si="0"/>
        <v>0</v>
      </c>
      <c r="G55" s="232"/>
      <c r="H55" s="30">
        <f t="shared" si="9"/>
        <v>0</v>
      </c>
      <c r="I55" s="232"/>
      <c r="J55" s="30">
        <f t="shared" si="10"/>
        <v>0</v>
      </c>
      <c r="K55" s="232"/>
      <c r="L55" s="30">
        <f t="shared" si="11"/>
        <v>0</v>
      </c>
      <c r="M55" s="238"/>
      <c r="N55" s="30">
        <f t="shared" si="12"/>
        <v>0</v>
      </c>
      <c r="O55" s="232"/>
      <c r="P55" s="30">
        <f t="shared" si="1"/>
        <v>0</v>
      </c>
      <c r="Q55" s="232"/>
      <c r="R55" s="30">
        <f t="shared" si="2"/>
        <v>0</v>
      </c>
      <c r="S55" s="232"/>
      <c r="T55" s="30">
        <f t="shared" si="3"/>
        <v>0</v>
      </c>
      <c r="U55" s="232">
        <v>8</v>
      </c>
      <c r="V55" s="30">
        <f t="shared" si="4"/>
        <v>1.76</v>
      </c>
      <c r="W55" s="232"/>
      <c r="X55" s="30">
        <f t="shared" si="5"/>
        <v>0</v>
      </c>
      <c r="Y55" s="37">
        <f t="shared" si="6"/>
        <v>8</v>
      </c>
      <c r="Z55" s="30">
        <f t="shared" si="13"/>
        <v>1.76</v>
      </c>
      <c r="AA55" s="29">
        <f t="shared" si="8"/>
        <v>40</v>
      </c>
    </row>
    <row r="56" spans="1:26" s="44" customFormat="1" ht="15">
      <c r="A56" s="71"/>
      <c r="B56" s="72" t="s">
        <v>52</v>
      </c>
      <c r="C56" s="43"/>
      <c r="D56" s="43"/>
      <c r="E56" s="232"/>
      <c r="F56" s="65">
        <f>SUM(F3:F55)</f>
        <v>19.22</v>
      </c>
      <c r="G56" s="232"/>
      <c r="H56" s="65">
        <f>SUM(H3:H55)</f>
        <v>19.22</v>
      </c>
      <c r="I56" s="232"/>
      <c r="J56" s="65">
        <f>SUM(J3:J55)</f>
        <v>19.22</v>
      </c>
      <c r="K56" s="232"/>
      <c r="L56" s="65">
        <f>SUM(L3:L55)</f>
        <v>19.22</v>
      </c>
      <c r="M56" s="238"/>
      <c r="N56" s="65">
        <f>SUM(N3:N55)</f>
        <v>19.22</v>
      </c>
      <c r="O56" s="232"/>
      <c r="P56" s="65">
        <f>SUM(P3:P55)</f>
        <v>19.22</v>
      </c>
      <c r="Q56" s="232"/>
      <c r="R56" s="65">
        <f>SUM(R3:R55)</f>
        <v>19.22</v>
      </c>
      <c r="S56" s="232"/>
      <c r="T56" s="65">
        <f>SUM(T3:T55)</f>
        <v>19.22</v>
      </c>
      <c r="U56" s="232"/>
      <c r="V56" s="65">
        <f>SUM(V3:V55)</f>
        <v>19.22</v>
      </c>
      <c r="W56" s="232"/>
      <c r="X56" s="65">
        <f>SUM(X3:X55)</f>
        <v>19.22</v>
      </c>
      <c r="Y56" s="70">
        <f t="shared" si="6"/>
        <v>0</v>
      </c>
      <c r="Z56" s="43">
        <f>Y56*D56/1000</f>
        <v>0</v>
      </c>
    </row>
    <row r="57" spans="1:26" s="44" customFormat="1" ht="12.75">
      <c r="A57" s="43"/>
      <c r="B57" s="43"/>
      <c r="C57" s="43"/>
      <c r="D57" s="43"/>
      <c r="E57" s="232"/>
      <c r="F57" s="43"/>
      <c r="G57" s="232"/>
      <c r="H57" s="43"/>
      <c r="I57" s="232"/>
      <c r="J57" s="43"/>
      <c r="K57" s="232"/>
      <c r="L57" s="43"/>
      <c r="M57" s="238"/>
      <c r="N57" s="43"/>
      <c r="O57" s="232"/>
      <c r="P57" s="43"/>
      <c r="Q57" s="232"/>
      <c r="R57" s="43"/>
      <c r="S57" s="232"/>
      <c r="T57" s="43"/>
      <c r="U57" s="232"/>
      <c r="V57" s="43"/>
      <c r="W57" s="232"/>
      <c r="X57" s="43"/>
      <c r="Y57" s="43"/>
      <c r="Z57" s="43">
        <f>SUM(Z3:Z56)</f>
        <v>192.1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9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625" style="29" bestFit="1" customWidth="1"/>
    <col min="2" max="2" width="31.25390625" style="29" customWidth="1"/>
    <col min="3" max="3" width="4.75390625" style="29" bestFit="1" customWidth="1"/>
    <col min="4" max="4" width="9.125" style="29" customWidth="1"/>
    <col min="5" max="5" width="9.125" style="231" customWidth="1"/>
    <col min="6" max="6" width="9.125" style="29" customWidth="1"/>
    <col min="7" max="7" width="9.125" style="231" customWidth="1"/>
    <col min="8" max="8" width="9.125" style="29" customWidth="1"/>
    <col min="9" max="9" width="9.125" style="231" customWidth="1"/>
    <col min="10" max="10" width="9.125" style="29" customWidth="1"/>
    <col min="11" max="11" width="9.125" style="231" customWidth="1"/>
    <col min="12" max="12" width="9.125" style="29" customWidth="1"/>
    <col min="13" max="13" width="9.125" style="239" customWidth="1"/>
    <col min="14" max="14" width="9.125" style="29" customWidth="1"/>
    <col min="15" max="15" width="9.125" style="231" customWidth="1"/>
    <col min="16" max="16" width="9.125" style="29" customWidth="1"/>
    <col min="17" max="17" width="9.125" style="231" customWidth="1"/>
    <col min="18" max="18" width="9.125" style="29" customWidth="1"/>
    <col min="19" max="19" width="9.125" style="231" customWidth="1"/>
    <col min="20" max="20" width="9.125" style="29" customWidth="1"/>
    <col min="21" max="21" width="9.125" style="231" customWidth="1"/>
    <col min="22" max="22" width="9.125" style="29" customWidth="1"/>
    <col min="23" max="23" width="9.125" style="239" customWidth="1"/>
    <col min="24" max="27" width="9.125" style="29" customWidth="1"/>
    <col min="28" max="28" width="6.25390625" style="29" customWidth="1"/>
    <col min="29" max="29" width="9.125" style="29" customWidth="1"/>
    <col min="30" max="30" width="5.75390625" style="29" customWidth="1"/>
    <col min="31" max="16384" width="9.125" style="29" customWidth="1"/>
  </cols>
  <sheetData>
    <row r="1" spans="2:7" ht="12.75" customHeight="1">
      <c r="B1" s="91" t="s">
        <v>5</v>
      </c>
      <c r="G1" s="235"/>
    </row>
    <row r="2" spans="1:29" ht="25.5" customHeight="1">
      <c r="A2" s="36" t="s">
        <v>3</v>
      </c>
      <c r="B2" s="36" t="s">
        <v>53</v>
      </c>
      <c r="C2" s="36" t="s">
        <v>152</v>
      </c>
      <c r="D2" s="36" t="s">
        <v>54</v>
      </c>
      <c r="E2" s="230">
        <v>1</v>
      </c>
      <c r="F2" s="36" t="s">
        <v>55</v>
      </c>
      <c r="G2" s="230">
        <v>2</v>
      </c>
      <c r="H2" s="36" t="s">
        <v>55</v>
      </c>
      <c r="I2" s="230">
        <v>3</v>
      </c>
      <c r="J2" s="36" t="s">
        <v>55</v>
      </c>
      <c r="K2" s="230">
        <v>4</v>
      </c>
      <c r="L2" s="36" t="s">
        <v>55</v>
      </c>
      <c r="M2" s="237">
        <v>5</v>
      </c>
      <c r="N2" s="36" t="s">
        <v>55</v>
      </c>
      <c r="O2" s="230">
        <v>1</v>
      </c>
      <c r="P2" s="36" t="s">
        <v>55</v>
      </c>
      <c r="Q2" s="230">
        <v>2</v>
      </c>
      <c r="R2" s="36" t="s">
        <v>55</v>
      </c>
      <c r="S2" s="230">
        <v>3</v>
      </c>
      <c r="T2" s="36" t="s">
        <v>55</v>
      </c>
      <c r="U2" s="230">
        <v>4</v>
      </c>
      <c r="V2" s="36" t="s">
        <v>55</v>
      </c>
      <c r="W2" s="237">
        <v>5</v>
      </c>
      <c r="X2" s="36" t="s">
        <v>55</v>
      </c>
      <c r="Y2" s="36" t="s">
        <v>56</v>
      </c>
      <c r="Z2" s="36" t="s">
        <v>55</v>
      </c>
      <c r="AA2" s="60"/>
      <c r="AB2" s="60"/>
      <c r="AC2" s="253" t="s">
        <v>79</v>
      </c>
    </row>
    <row r="3" spans="1:29" ht="15" customHeight="1">
      <c r="A3" s="33">
        <v>1</v>
      </c>
      <c r="B3" s="31" t="str">
        <f>завтрак!B3</f>
        <v>Яйцо (1 сорт)</v>
      </c>
      <c r="C3" s="32" t="str">
        <f>завтрак!C3</f>
        <v>шт</v>
      </c>
      <c r="D3" s="46">
        <f>завтрак!D3</f>
        <v>13.5</v>
      </c>
      <c r="E3" s="232"/>
      <c r="F3" s="30">
        <f>E3*D3</f>
        <v>0</v>
      </c>
      <c r="G3" s="232"/>
      <c r="H3" s="30">
        <f>G3*D3</f>
        <v>0</v>
      </c>
      <c r="I3" s="232">
        <v>0.14</v>
      </c>
      <c r="J3" s="30">
        <f>I3*D3</f>
        <v>1.89</v>
      </c>
      <c r="K3" s="232"/>
      <c r="L3" s="30">
        <f>K3*D3</f>
        <v>0</v>
      </c>
      <c r="M3" s="238">
        <v>0.08</v>
      </c>
      <c r="N3" s="30">
        <f>D3*M3</f>
        <v>1.08</v>
      </c>
      <c r="O3" s="232">
        <v>0.1</v>
      </c>
      <c r="P3" s="30">
        <f>O3*D3</f>
        <v>1.35</v>
      </c>
      <c r="Q3" s="232"/>
      <c r="R3" s="30">
        <f>Q3*D3</f>
        <v>0</v>
      </c>
      <c r="S3" s="232"/>
      <c r="T3" s="30">
        <f>D3*S3</f>
        <v>0</v>
      </c>
      <c r="U3" s="232">
        <v>0.11</v>
      </c>
      <c r="V3" s="30">
        <f>D3*U3</f>
        <v>1.49</v>
      </c>
      <c r="W3" s="238"/>
      <c r="X3" s="30">
        <f>D3*W3</f>
        <v>0</v>
      </c>
      <c r="Y3" s="37">
        <f>(E3+G3+I3+K3+M3+O3+Q3+S3+U3+W3)</f>
        <v>0.43</v>
      </c>
      <c r="Z3" s="30">
        <f>Y3*D3</f>
        <v>5.81</v>
      </c>
      <c r="AA3" s="61">
        <f>Y3*5</f>
        <v>2.15</v>
      </c>
      <c r="AB3" s="61"/>
      <c r="AC3" s="29">
        <f>(Y3+завтрак!Y3+полдник!Y3)/10</f>
        <v>0.481</v>
      </c>
    </row>
    <row r="4" spans="1:29" ht="15" customHeight="1">
      <c r="A4" s="33">
        <v>2</v>
      </c>
      <c r="B4" s="31" t="str">
        <f>завтрак!B4</f>
        <v>Мясо говядины без кости (1 категории)</v>
      </c>
      <c r="C4" s="32" t="str">
        <f>завтрак!C4</f>
        <v>кг</v>
      </c>
      <c r="D4" s="46">
        <f>завтрак!D4</f>
        <v>622</v>
      </c>
      <c r="E4" s="232"/>
      <c r="F4" s="30">
        <f>D4*E4/1000</f>
        <v>0</v>
      </c>
      <c r="G4" s="232">
        <v>54</v>
      </c>
      <c r="H4" s="30">
        <f>G4*D4/1000</f>
        <v>33.59</v>
      </c>
      <c r="I4" s="232"/>
      <c r="J4" s="30">
        <f>I4*D4/1000</f>
        <v>0</v>
      </c>
      <c r="K4" s="232"/>
      <c r="L4" s="30">
        <f>K4*D4/1000</f>
        <v>0</v>
      </c>
      <c r="M4" s="238">
        <v>43</v>
      </c>
      <c r="N4" s="30">
        <f>D4*M4/1000</f>
        <v>26.75</v>
      </c>
      <c r="O4" s="232">
        <v>48</v>
      </c>
      <c r="P4" s="30">
        <f>O4*D4/1000</f>
        <v>29.86</v>
      </c>
      <c r="Q4" s="232"/>
      <c r="R4" s="30">
        <f>D4*Q4/1000</f>
        <v>0</v>
      </c>
      <c r="S4" s="232"/>
      <c r="T4" s="30">
        <f>D4*S4/1000</f>
        <v>0</v>
      </c>
      <c r="U4" s="232">
        <v>48</v>
      </c>
      <c r="V4" s="30">
        <f>D4*U4/1000</f>
        <v>29.86</v>
      </c>
      <c r="W4" s="238">
        <v>47</v>
      </c>
      <c r="X4" s="30">
        <f>D4*W4/1000</f>
        <v>29.23</v>
      </c>
      <c r="Y4" s="37">
        <f aca="true" t="shared" si="0" ref="Y4:Y56">(E4+G4+I4+K4+M4+O4+Q4+S4+U4+W4)</f>
        <v>240</v>
      </c>
      <c r="Z4" s="30">
        <f>Y4*D4/1000</f>
        <v>149.28</v>
      </c>
      <c r="AA4" s="61">
        <f aca="true" t="shared" si="1" ref="AA4:AA55">Y4*5</f>
        <v>1200</v>
      </c>
      <c r="AB4" s="61"/>
      <c r="AC4" s="29">
        <f>(Y4+завтрак!Y4+полдник!Y4)/10</f>
        <v>24</v>
      </c>
    </row>
    <row r="5" spans="1:29" ht="15" customHeight="1">
      <c r="A5" s="33">
        <v>3</v>
      </c>
      <c r="B5" s="31" t="str">
        <f>завтрак!B5</f>
        <v>Мясо птицы (1 категории)</v>
      </c>
      <c r="C5" s="32" t="str">
        <f>завтрак!C5</f>
        <v>кг</v>
      </c>
      <c r="D5" s="46">
        <f>завтрак!D5</f>
        <v>292</v>
      </c>
      <c r="E5" s="232">
        <v>83</v>
      </c>
      <c r="F5" s="30">
        <f aca="true" t="shared" si="2" ref="F5:F55">D5*E5/1000</f>
        <v>24.24</v>
      </c>
      <c r="G5" s="232"/>
      <c r="H5" s="30">
        <f aca="true" t="shared" si="3" ref="H5:H55">G5*D5/1000</f>
        <v>0</v>
      </c>
      <c r="I5" s="232">
        <v>96</v>
      </c>
      <c r="J5" s="30">
        <f aca="true" t="shared" si="4" ref="J5:J55">I5*D5/1000</f>
        <v>28.03</v>
      </c>
      <c r="K5" s="232"/>
      <c r="L5" s="30">
        <f aca="true" t="shared" si="5" ref="L5:L55">K5*D5/1000</f>
        <v>0</v>
      </c>
      <c r="M5" s="238"/>
      <c r="N5" s="30">
        <f aca="true" t="shared" si="6" ref="N5:N55">D5*M5/1000</f>
        <v>0</v>
      </c>
      <c r="O5" s="232"/>
      <c r="P5" s="30">
        <f aca="true" t="shared" si="7" ref="P5:P55">O5*D5/1000</f>
        <v>0</v>
      </c>
      <c r="Q5" s="232">
        <v>109</v>
      </c>
      <c r="R5" s="30">
        <f aca="true" t="shared" si="8" ref="R5:R55">D5*Q5/1000</f>
        <v>31.83</v>
      </c>
      <c r="S5" s="232"/>
      <c r="T5" s="30">
        <f aca="true" t="shared" si="9" ref="T5:T55">D5*S5/1000</f>
        <v>0</v>
      </c>
      <c r="U5" s="232"/>
      <c r="V5" s="30">
        <f aca="true" t="shared" si="10" ref="V5:V55">D5*U5/1000</f>
        <v>0</v>
      </c>
      <c r="W5" s="238"/>
      <c r="X5" s="30">
        <f aca="true" t="shared" si="11" ref="X5:X55">D5*W5/1000</f>
        <v>0</v>
      </c>
      <c r="Y5" s="37">
        <f t="shared" si="0"/>
        <v>288</v>
      </c>
      <c r="Z5" s="30">
        <f aca="true" t="shared" si="12" ref="Z5:Z55">Y5*D5/1000</f>
        <v>84.1</v>
      </c>
      <c r="AA5" s="61">
        <f t="shared" si="1"/>
        <v>1440</v>
      </c>
      <c r="AB5" s="61"/>
      <c r="AC5" s="29">
        <f>(Y5+завтрак!Y5+полдник!Y5)/10</f>
        <v>31.3</v>
      </c>
    </row>
    <row r="6" spans="1:29" ht="15" customHeight="1">
      <c r="A6" s="33">
        <v>4</v>
      </c>
      <c r="B6" s="31">
        <f>завтрак!B6</f>
        <v>0</v>
      </c>
      <c r="C6" s="32">
        <f>завтрак!C6</f>
        <v>0</v>
      </c>
      <c r="D6" s="46">
        <f>завтрак!D6</f>
        <v>0</v>
      </c>
      <c r="E6" s="232"/>
      <c r="F6" s="30">
        <f t="shared" si="2"/>
        <v>0</v>
      </c>
      <c r="G6" s="232"/>
      <c r="H6" s="30">
        <f t="shared" si="3"/>
        <v>0</v>
      </c>
      <c r="I6" s="232"/>
      <c r="J6" s="30">
        <f t="shared" si="4"/>
        <v>0</v>
      </c>
      <c r="K6" s="232"/>
      <c r="L6" s="30">
        <f t="shared" si="5"/>
        <v>0</v>
      </c>
      <c r="M6" s="238"/>
      <c r="N6" s="30">
        <f t="shared" si="6"/>
        <v>0</v>
      </c>
      <c r="O6" s="232"/>
      <c r="P6" s="30">
        <f t="shared" si="7"/>
        <v>0</v>
      </c>
      <c r="Q6" s="232"/>
      <c r="R6" s="30">
        <f t="shared" si="8"/>
        <v>0</v>
      </c>
      <c r="S6" s="232"/>
      <c r="T6" s="30">
        <f t="shared" si="9"/>
        <v>0</v>
      </c>
      <c r="U6" s="232"/>
      <c r="V6" s="30">
        <f t="shared" si="10"/>
        <v>0</v>
      </c>
      <c r="W6" s="238"/>
      <c r="X6" s="30">
        <f t="shared" si="11"/>
        <v>0</v>
      </c>
      <c r="Y6" s="37">
        <f t="shared" si="0"/>
        <v>0</v>
      </c>
      <c r="Z6" s="30">
        <f t="shared" si="12"/>
        <v>0</v>
      </c>
      <c r="AA6" s="61">
        <f t="shared" si="1"/>
        <v>0</v>
      </c>
      <c r="AB6" s="61"/>
      <c r="AC6" s="29">
        <f>(Y6+завтрак!Y6+полдник!Y6)/10</f>
        <v>0</v>
      </c>
    </row>
    <row r="7" spans="1:29" ht="15">
      <c r="A7" s="33">
        <v>5</v>
      </c>
      <c r="B7" s="31">
        <f>завтрак!B7</f>
        <v>0</v>
      </c>
      <c r="C7" s="32">
        <f>завтрак!C7</f>
        <v>0</v>
      </c>
      <c r="D7" s="46">
        <f>завтрак!D7</f>
        <v>0</v>
      </c>
      <c r="E7" s="232"/>
      <c r="F7" s="30">
        <f t="shared" si="2"/>
        <v>0</v>
      </c>
      <c r="G7" s="232"/>
      <c r="H7" s="30">
        <f t="shared" si="3"/>
        <v>0</v>
      </c>
      <c r="I7" s="232"/>
      <c r="J7" s="30">
        <f t="shared" si="4"/>
        <v>0</v>
      </c>
      <c r="K7" s="232"/>
      <c r="L7" s="30">
        <f t="shared" si="5"/>
        <v>0</v>
      </c>
      <c r="M7" s="238"/>
      <c r="N7" s="30">
        <f t="shared" si="6"/>
        <v>0</v>
      </c>
      <c r="O7" s="232"/>
      <c r="P7" s="30">
        <f t="shared" si="7"/>
        <v>0</v>
      </c>
      <c r="Q7" s="232"/>
      <c r="R7" s="30">
        <f t="shared" si="8"/>
        <v>0</v>
      </c>
      <c r="S7" s="232"/>
      <c r="T7" s="30">
        <f t="shared" si="9"/>
        <v>0</v>
      </c>
      <c r="U7" s="232"/>
      <c r="V7" s="30">
        <f t="shared" si="10"/>
        <v>0</v>
      </c>
      <c r="W7" s="238"/>
      <c r="X7" s="30">
        <f t="shared" si="11"/>
        <v>0</v>
      </c>
      <c r="Y7" s="37">
        <f t="shared" si="0"/>
        <v>0</v>
      </c>
      <c r="Z7" s="30">
        <f t="shared" si="12"/>
        <v>0</v>
      </c>
      <c r="AA7" s="61">
        <f t="shared" si="1"/>
        <v>0</v>
      </c>
      <c r="AB7" s="61"/>
      <c r="AC7" s="29">
        <f>(Y7+завтрак!Y7+полдник!Y7)/10</f>
        <v>0</v>
      </c>
    </row>
    <row r="8" spans="1:29" ht="15">
      <c r="A8" s="33">
        <v>6</v>
      </c>
      <c r="B8" s="31" t="str">
        <f>завтрак!B8</f>
        <v>Молоко пастеризованное (2,5%)</v>
      </c>
      <c r="C8" s="32" t="str">
        <f>завтрак!C8</f>
        <v>л</v>
      </c>
      <c r="D8" s="46">
        <f>завтрак!D8</f>
        <v>72</v>
      </c>
      <c r="E8" s="232"/>
      <c r="F8" s="30">
        <f t="shared" si="2"/>
        <v>0</v>
      </c>
      <c r="G8" s="232"/>
      <c r="H8" s="30">
        <f t="shared" si="3"/>
        <v>0</v>
      </c>
      <c r="I8" s="232"/>
      <c r="J8" s="30">
        <f t="shared" si="4"/>
        <v>0</v>
      </c>
      <c r="K8" s="232"/>
      <c r="L8" s="30">
        <f t="shared" si="5"/>
        <v>0</v>
      </c>
      <c r="M8" s="238"/>
      <c r="N8" s="30">
        <f t="shared" si="6"/>
        <v>0</v>
      </c>
      <c r="O8" s="232"/>
      <c r="P8" s="30">
        <f t="shared" si="7"/>
        <v>0</v>
      </c>
      <c r="Q8" s="232"/>
      <c r="R8" s="30">
        <f t="shared" si="8"/>
        <v>0</v>
      </c>
      <c r="S8" s="232">
        <v>25</v>
      </c>
      <c r="T8" s="30">
        <f t="shared" si="9"/>
        <v>1.8</v>
      </c>
      <c r="U8" s="232"/>
      <c r="V8" s="30">
        <f t="shared" si="10"/>
        <v>0</v>
      </c>
      <c r="W8" s="238"/>
      <c r="X8" s="30">
        <f t="shared" si="11"/>
        <v>0</v>
      </c>
      <c r="Y8" s="37">
        <f t="shared" si="0"/>
        <v>25</v>
      </c>
      <c r="Z8" s="30">
        <f t="shared" si="12"/>
        <v>1.8</v>
      </c>
      <c r="AA8" s="61">
        <f t="shared" si="1"/>
        <v>125</v>
      </c>
      <c r="AB8" s="61"/>
      <c r="AC8" s="29">
        <f>(Y8+завтрак!Y8+полдник!Y8)/10</f>
        <v>49.8</v>
      </c>
    </row>
    <row r="9" spans="1:29" ht="15">
      <c r="A9" s="33">
        <v>7</v>
      </c>
      <c r="B9" s="31" t="str">
        <f>завтрак!B9</f>
        <v>Масло сливочное (72,5%)</v>
      </c>
      <c r="C9" s="32" t="str">
        <f>завтрак!C9</f>
        <v>кг</v>
      </c>
      <c r="D9" s="46">
        <f>завтрак!D9</f>
        <v>467</v>
      </c>
      <c r="E9" s="232">
        <v>7</v>
      </c>
      <c r="F9" s="30">
        <f t="shared" si="2"/>
        <v>3.27</v>
      </c>
      <c r="G9" s="232">
        <f>1+5</f>
        <v>6</v>
      </c>
      <c r="H9" s="30">
        <f t="shared" si="3"/>
        <v>2.8</v>
      </c>
      <c r="I9" s="232">
        <f>1+5</f>
        <v>6</v>
      </c>
      <c r="J9" s="30">
        <f t="shared" si="4"/>
        <v>2.8</v>
      </c>
      <c r="K9" s="232"/>
      <c r="L9" s="30">
        <f t="shared" si="5"/>
        <v>0</v>
      </c>
      <c r="M9" s="238">
        <f>5+8</f>
        <v>13</v>
      </c>
      <c r="N9" s="30">
        <f t="shared" si="6"/>
        <v>6.07</v>
      </c>
      <c r="O9" s="232">
        <v>6</v>
      </c>
      <c r="P9" s="30">
        <f t="shared" si="7"/>
        <v>2.8</v>
      </c>
      <c r="Q9" s="232"/>
      <c r="R9" s="30">
        <f t="shared" si="8"/>
        <v>0</v>
      </c>
      <c r="S9" s="232">
        <v>5</v>
      </c>
      <c r="T9" s="30">
        <f t="shared" si="9"/>
        <v>2.34</v>
      </c>
      <c r="U9" s="232">
        <v>7</v>
      </c>
      <c r="V9" s="30">
        <f t="shared" si="10"/>
        <v>3.27</v>
      </c>
      <c r="W9" s="238">
        <f>4+5</f>
        <v>9</v>
      </c>
      <c r="X9" s="30">
        <f t="shared" si="11"/>
        <v>4.2</v>
      </c>
      <c r="Y9" s="37">
        <f t="shared" si="0"/>
        <v>59</v>
      </c>
      <c r="Z9" s="30">
        <f t="shared" si="12"/>
        <v>27.55</v>
      </c>
      <c r="AA9" s="61">
        <f t="shared" si="1"/>
        <v>295</v>
      </c>
      <c r="AB9" s="61"/>
      <c r="AC9" s="29">
        <f>(Y9+завтрак!Y9+полдник!Y9)/10</f>
        <v>12.3</v>
      </c>
    </row>
    <row r="10" spans="1:29" ht="15">
      <c r="A10" s="33">
        <v>8</v>
      </c>
      <c r="B10" s="31" t="str">
        <f>завтрак!B10</f>
        <v>Сметана (15%)</v>
      </c>
      <c r="C10" s="32" t="str">
        <f>завтрак!C10</f>
        <v>кг</v>
      </c>
      <c r="D10" s="46">
        <f>завтрак!D10</f>
        <v>199</v>
      </c>
      <c r="E10" s="232">
        <f>10+4</f>
        <v>14</v>
      </c>
      <c r="F10" s="30">
        <f t="shared" si="2"/>
        <v>2.79</v>
      </c>
      <c r="G10" s="232"/>
      <c r="H10" s="30">
        <f t="shared" si="3"/>
        <v>0</v>
      </c>
      <c r="I10" s="232">
        <v>8</v>
      </c>
      <c r="J10" s="30">
        <f t="shared" si="4"/>
        <v>1.59</v>
      </c>
      <c r="K10" s="232">
        <v>10</v>
      </c>
      <c r="L10" s="30">
        <f t="shared" si="5"/>
        <v>1.99</v>
      </c>
      <c r="M10" s="238"/>
      <c r="N10" s="30">
        <f t="shared" si="6"/>
        <v>0</v>
      </c>
      <c r="O10" s="232">
        <v>10</v>
      </c>
      <c r="P10" s="30">
        <f t="shared" si="7"/>
        <v>1.99</v>
      </c>
      <c r="Q10" s="232"/>
      <c r="R10" s="30">
        <f t="shared" si="8"/>
        <v>0</v>
      </c>
      <c r="S10" s="232"/>
      <c r="T10" s="30">
        <f t="shared" si="9"/>
        <v>0</v>
      </c>
      <c r="U10" s="232"/>
      <c r="V10" s="30">
        <f t="shared" si="10"/>
        <v>0</v>
      </c>
      <c r="W10" s="232">
        <f>10+8</f>
        <v>18</v>
      </c>
      <c r="X10" s="30">
        <f t="shared" si="11"/>
        <v>3.58</v>
      </c>
      <c r="Y10" s="37">
        <f t="shared" si="0"/>
        <v>60</v>
      </c>
      <c r="Z10" s="30">
        <f t="shared" si="12"/>
        <v>11.94</v>
      </c>
      <c r="AA10" s="61">
        <f t="shared" si="1"/>
        <v>300</v>
      </c>
      <c r="AB10" s="61"/>
      <c r="AC10" s="29">
        <f>(Y10+завтрак!Y10+полдник!Y10)/10</f>
        <v>9.25</v>
      </c>
    </row>
    <row r="11" spans="1:29" ht="15">
      <c r="A11" s="33">
        <v>9</v>
      </c>
      <c r="B11" s="31" t="str">
        <f>завтрак!B11</f>
        <v>Творог (5%)</v>
      </c>
      <c r="C11" s="32" t="str">
        <f>завтрак!C11</f>
        <v>кг</v>
      </c>
      <c r="D11" s="46">
        <f>завтрак!D11</f>
        <v>217</v>
      </c>
      <c r="E11" s="232"/>
      <c r="F11" s="30">
        <f t="shared" si="2"/>
        <v>0</v>
      </c>
      <c r="G11" s="232"/>
      <c r="H11" s="30">
        <f t="shared" si="3"/>
        <v>0</v>
      </c>
      <c r="I11" s="232"/>
      <c r="J11" s="30">
        <f t="shared" si="4"/>
        <v>0</v>
      </c>
      <c r="K11" s="232"/>
      <c r="L11" s="30">
        <f t="shared" si="5"/>
        <v>0</v>
      </c>
      <c r="M11" s="238"/>
      <c r="N11" s="30">
        <f t="shared" si="6"/>
        <v>0</v>
      </c>
      <c r="O11" s="232"/>
      <c r="P11" s="30">
        <f t="shared" si="7"/>
        <v>0</v>
      </c>
      <c r="Q11" s="232"/>
      <c r="R11" s="30">
        <f t="shared" si="8"/>
        <v>0</v>
      </c>
      <c r="S11" s="232"/>
      <c r="T11" s="30">
        <f t="shared" si="9"/>
        <v>0</v>
      </c>
      <c r="U11" s="232"/>
      <c r="V11" s="30">
        <f t="shared" si="10"/>
        <v>0</v>
      </c>
      <c r="W11" s="238"/>
      <c r="X11" s="30">
        <f t="shared" si="11"/>
        <v>0</v>
      </c>
      <c r="Y11" s="37">
        <f t="shared" si="0"/>
        <v>0</v>
      </c>
      <c r="Z11" s="30">
        <f t="shared" si="12"/>
        <v>0</v>
      </c>
      <c r="AA11" s="61">
        <f t="shared" si="1"/>
        <v>0</v>
      </c>
      <c r="AB11" s="61"/>
      <c r="AC11" s="29">
        <f>(Y11+завтрак!Y11+полдник!Y11)/10</f>
        <v>10.7</v>
      </c>
    </row>
    <row r="12" spans="1:29" ht="15">
      <c r="A12" s="33">
        <v>10</v>
      </c>
      <c r="B12" s="31" t="str">
        <f>завтрак!B12</f>
        <v>Сыр твердый (45%)</v>
      </c>
      <c r="C12" s="32" t="str">
        <f>завтрак!C12</f>
        <v>кг</v>
      </c>
      <c r="D12" s="46">
        <f>завтрак!D12</f>
        <v>543</v>
      </c>
      <c r="E12" s="232">
        <v>11</v>
      </c>
      <c r="F12" s="30">
        <f t="shared" si="2"/>
        <v>5.97</v>
      </c>
      <c r="G12" s="232"/>
      <c r="H12" s="30">
        <f t="shared" si="3"/>
        <v>0</v>
      </c>
      <c r="I12" s="232"/>
      <c r="J12" s="30">
        <f t="shared" si="4"/>
        <v>0</v>
      </c>
      <c r="K12" s="232">
        <v>13</v>
      </c>
      <c r="L12" s="30">
        <f t="shared" si="5"/>
        <v>7.06</v>
      </c>
      <c r="M12" s="238"/>
      <c r="N12" s="30">
        <f t="shared" si="6"/>
        <v>0</v>
      </c>
      <c r="O12" s="232"/>
      <c r="P12" s="30">
        <f t="shared" si="7"/>
        <v>0</v>
      </c>
      <c r="Q12" s="232"/>
      <c r="R12" s="30">
        <f t="shared" si="8"/>
        <v>0</v>
      </c>
      <c r="S12" s="232"/>
      <c r="T12" s="30">
        <f t="shared" si="9"/>
        <v>0</v>
      </c>
      <c r="U12" s="232"/>
      <c r="V12" s="30">
        <f t="shared" si="10"/>
        <v>0</v>
      </c>
      <c r="W12" s="238"/>
      <c r="X12" s="30">
        <f t="shared" si="11"/>
        <v>0</v>
      </c>
      <c r="Y12" s="37">
        <f t="shared" si="0"/>
        <v>24</v>
      </c>
      <c r="Z12" s="30">
        <f t="shared" si="12"/>
        <v>13.03</v>
      </c>
      <c r="AA12" s="61">
        <f t="shared" si="1"/>
        <v>120</v>
      </c>
      <c r="AB12" s="61"/>
      <c r="AC12" s="29">
        <f>(Y12+завтрак!Y12+полдник!Y12)/10</f>
        <v>4.6</v>
      </c>
    </row>
    <row r="13" spans="1:29" ht="30">
      <c r="A13" s="33">
        <v>11</v>
      </c>
      <c r="B13" s="31" t="str">
        <f>завтрак!B13</f>
        <v>Молоко сгущенное цельное с сахаром (8,5%)</v>
      </c>
      <c r="C13" s="32" t="str">
        <f>завтрак!C13</f>
        <v>кг</v>
      </c>
      <c r="D13" s="46">
        <f>завтрак!D13</f>
        <v>247</v>
      </c>
      <c r="E13" s="232"/>
      <c r="F13" s="30">
        <f t="shared" si="2"/>
        <v>0</v>
      </c>
      <c r="G13" s="232"/>
      <c r="H13" s="30">
        <f t="shared" si="3"/>
        <v>0</v>
      </c>
      <c r="I13" s="232"/>
      <c r="J13" s="30">
        <f t="shared" si="4"/>
        <v>0</v>
      </c>
      <c r="K13" s="232"/>
      <c r="L13" s="30">
        <f t="shared" si="5"/>
        <v>0</v>
      </c>
      <c r="M13" s="238"/>
      <c r="N13" s="30">
        <f t="shared" si="6"/>
        <v>0</v>
      </c>
      <c r="O13" s="232"/>
      <c r="P13" s="30">
        <f t="shared" si="7"/>
        <v>0</v>
      </c>
      <c r="Q13" s="232"/>
      <c r="R13" s="30">
        <f t="shared" si="8"/>
        <v>0</v>
      </c>
      <c r="S13" s="232"/>
      <c r="T13" s="30">
        <f t="shared" si="9"/>
        <v>0</v>
      </c>
      <c r="U13" s="232"/>
      <c r="V13" s="30">
        <f t="shared" si="10"/>
        <v>0</v>
      </c>
      <c r="W13" s="238"/>
      <c r="X13" s="30">
        <f t="shared" si="11"/>
        <v>0</v>
      </c>
      <c r="Y13" s="37">
        <f t="shared" si="0"/>
        <v>0</v>
      </c>
      <c r="Z13" s="30">
        <f t="shared" si="12"/>
        <v>0</v>
      </c>
      <c r="AA13" s="61">
        <f t="shared" si="1"/>
        <v>0</v>
      </c>
      <c r="AB13" s="61"/>
      <c r="AC13" s="29">
        <f>(Y13+завтрак!Y13+полдник!Y13)/10</f>
        <v>2</v>
      </c>
    </row>
    <row r="14" spans="1:29" ht="15">
      <c r="A14" s="33">
        <v>12</v>
      </c>
      <c r="B14" s="31" t="str">
        <f>завтрак!B14</f>
        <v>Картофель (1 сорт)</v>
      </c>
      <c r="C14" s="32" t="str">
        <f>завтрак!C14</f>
        <v>кг</v>
      </c>
      <c r="D14" s="46">
        <f>завтрак!D14</f>
        <v>54</v>
      </c>
      <c r="E14" s="232">
        <v>53</v>
      </c>
      <c r="F14" s="30">
        <f t="shared" si="2"/>
        <v>2.86</v>
      </c>
      <c r="G14" s="232">
        <v>87</v>
      </c>
      <c r="H14" s="30">
        <v>4.71</v>
      </c>
      <c r="I14" s="232">
        <v>60</v>
      </c>
      <c r="J14" s="30">
        <f t="shared" si="4"/>
        <v>3.24</v>
      </c>
      <c r="K14" s="232">
        <f>32+290</f>
        <v>322</v>
      </c>
      <c r="L14" s="30">
        <f t="shared" si="5"/>
        <v>17.39</v>
      </c>
      <c r="M14" s="238">
        <v>60</v>
      </c>
      <c r="N14" s="30">
        <f t="shared" si="6"/>
        <v>3.24</v>
      </c>
      <c r="O14" s="232">
        <v>85</v>
      </c>
      <c r="P14" s="30">
        <f t="shared" si="7"/>
        <v>4.59</v>
      </c>
      <c r="Q14" s="232">
        <v>63</v>
      </c>
      <c r="R14" s="30">
        <f t="shared" si="8"/>
        <v>3.4</v>
      </c>
      <c r="S14" s="232">
        <f>100+181</f>
        <v>281</v>
      </c>
      <c r="T14" s="30">
        <f t="shared" si="9"/>
        <v>15.17</v>
      </c>
      <c r="U14" s="232">
        <v>83</v>
      </c>
      <c r="V14" s="30">
        <f t="shared" si="10"/>
        <v>4.48</v>
      </c>
      <c r="W14" s="238">
        <v>31</v>
      </c>
      <c r="X14" s="30">
        <f t="shared" si="11"/>
        <v>1.67</v>
      </c>
      <c r="Y14" s="37">
        <f t="shared" si="0"/>
        <v>1125</v>
      </c>
      <c r="Z14" s="30">
        <f t="shared" si="12"/>
        <v>60.75</v>
      </c>
      <c r="AA14" s="61">
        <f t="shared" si="1"/>
        <v>5625</v>
      </c>
      <c r="AB14" s="61"/>
      <c r="AC14" s="29">
        <f>(Y14+завтрак!Y14+полдник!Y14)/10</f>
        <v>133.3</v>
      </c>
    </row>
    <row r="15" spans="1:29" ht="15.75" customHeight="1">
      <c r="A15" s="33">
        <v>13</v>
      </c>
      <c r="B15" s="31" t="str">
        <f>завтрак!B15</f>
        <v>Капуста белокачанная (1 сорт)</v>
      </c>
      <c r="C15" s="32" t="str">
        <f>завтрак!C15</f>
        <v>кг</v>
      </c>
      <c r="D15" s="46">
        <f>завтрак!D15</f>
        <v>57</v>
      </c>
      <c r="E15" s="232"/>
      <c r="F15" s="30">
        <f t="shared" si="2"/>
        <v>0</v>
      </c>
      <c r="G15" s="232"/>
      <c r="H15" s="30">
        <f t="shared" si="3"/>
        <v>0</v>
      </c>
      <c r="I15" s="232"/>
      <c r="J15" s="30">
        <f t="shared" si="4"/>
        <v>0</v>
      </c>
      <c r="K15" s="232">
        <v>21</v>
      </c>
      <c r="L15" s="30">
        <v>1.21</v>
      </c>
      <c r="M15" s="238"/>
      <c r="N15" s="30">
        <f t="shared" si="6"/>
        <v>0</v>
      </c>
      <c r="O15" s="232"/>
      <c r="P15" s="30">
        <f t="shared" si="7"/>
        <v>0</v>
      </c>
      <c r="Q15" s="232"/>
      <c r="R15" s="30">
        <f t="shared" si="8"/>
        <v>0</v>
      </c>
      <c r="S15" s="232"/>
      <c r="T15" s="30">
        <f t="shared" si="9"/>
        <v>0</v>
      </c>
      <c r="U15" s="232"/>
      <c r="V15" s="30">
        <f t="shared" si="10"/>
        <v>0</v>
      </c>
      <c r="W15" s="238">
        <v>20</v>
      </c>
      <c r="X15" s="30">
        <f t="shared" si="11"/>
        <v>1.14</v>
      </c>
      <c r="Y15" s="37">
        <f t="shared" si="0"/>
        <v>41</v>
      </c>
      <c r="Z15" s="30">
        <f t="shared" si="12"/>
        <v>2.34</v>
      </c>
      <c r="AA15" s="61">
        <f t="shared" si="1"/>
        <v>205</v>
      </c>
      <c r="AB15" s="61"/>
      <c r="AC15" s="29">
        <f>(Y15+завтрак!Y15+полдник!Y15)/10</f>
        <v>15.7</v>
      </c>
    </row>
    <row r="16" spans="1:29" ht="14.25" customHeight="1">
      <c r="A16" s="33">
        <v>14</v>
      </c>
      <c r="B16" s="31" t="str">
        <f>завтрак!B16</f>
        <v>Лук репчатый (1 сорт)</v>
      </c>
      <c r="C16" s="32" t="str">
        <f>завтрак!C16</f>
        <v>кг</v>
      </c>
      <c r="D16" s="46">
        <f>завтрак!D16</f>
        <v>49</v>
      </c>
      <c r="E16" s="232">
        <f>10</f>
        <v>10</v>
      </c>
      <c r="F16" s="30">
        <f t="shared" si="2"/>
        <v>0.49</v>
      </c>
      <c r="G16" s="232">
        <f>10+10</f>
        <v>20</v>
      </c>
      <c r="H16" s="30">
        <f t="shared" si="3"/>
        <v>0.98</v>
      </c>
      <c r="I16" s="232">
        <f>9</f>
        <v>9</v>
      </c>
      <c r="J16" s="30">
        <f t="shared" si="4"/>
        <v>0.44</v>
      </c>
      <c r="K16" s="232">
        <f>10+18</f>
        <v>28</v>
      </c>
      <c r="L16" s="30">
        <f t="shared" si="5"/>
        <v>1.37</v>
      </c>
      <c r="M16" s="238">
        <f>10+9</f>
        <v>19</v>
      </c>
      <c r="N16" s="30">
        <v>0.94</v>
      </c>
      <c r="O16" s="232">
        <f>9+10</f>
        <v>19</v>
      </c>
      <c r="P16" s="30">
        <f t="shared" si="7"/>
        <v>0.93</v>
      </c>
      <c r="Q16" s="232">
        <f>9+10</f>
        <v>19</v>
      </c>
      <c r="R16" s="30">
        <f t="shared" si="8"/>
        <v>0.93</v>
      </c>
      <c r="S16" s="232">
        <v>2.5</v>
      </c>
      <c r="T16" s="30">
        <f t="shared" si="9"/>
        <v>0.12</v>
      </c>
      <c r="U16" s="232">
        <f>9+11</f>
        <v>20</v>
      </c>
      <c r="V16" s="30">
        <f t="shared" si="10"/>
        <v>0.98</v>
      </c>
      <c r="W16" s="238">
        <f>10+11</f>
        <v>21</v>
      </c>
      <c r="X16" s="30">
        <f t="shared" si="11"/>
        <v>1.03</v>
      </c>
      <c r="Y16" s="37">
        <f t="shared" si="0"/>
        <v>167.5</v>
      </c>
      <c r="Z16" s="30">
        <f t="shared" si="12"/>
        <v>8.21</v>
      </c>
      <c r="AA16" s="61">
        <f t="shared" si="1"/>
        <v>837.5</v>
      </c>
      <c r="AB16" s="61"/>
      <c r="AC16" s="29">
        <f>(Y16+завтрак!Y16+полдник!Y16)/10</f>
        <v>21.35</v>
      </c>
    </row>
    <row r="17" spans="1:29" ht="15">
      <c r="A17" s="33">
        <v>15</v>
      </c>
      <c r="B17" s="31" t="str">
        <f>завтрак!B17</f>
        <v>Морковь (1 сорт)</v>
      </c>
      <c r="C17" s="32" t="str">
        <f>завтрак!C17</f>
        <v>кг</v>
      </c>
      <c r="D17" s="46">
        <f>завтрак!D17</f>
        <v>60</v>
      </c>
      <c r="E17" s="232">
        <f>9</f>
        <v>9</v>
      </c>
      <c r="F17" s="30">
        <f t="shared" si="2"/>
        <v>0.54</v>
      </c>
      <c r="G17" s="232">
        <f>10+12</f>
        <v>22</v>
      </c>
      <c r="H17" s="30">
        <f t="shared" si="3"/>
        <v>1.32</v>
      </c>
      <c r="I17" s="232">
        <f>10</f>
        <v>10</v>
      </c>
      <c r="J17" s="30">
        <f t="shared" si="4"/>
        <v>0.6</v>
      </c>
      <c r="K17" s="232">
        <f>10</f>
        <v>10</v>
      </c>
      <c r="L17" s="30">
        <f t="shared" si="5"/>
        <v>0.6</v>
      </c>
      <c r="M17" s="238">
        <f>10</f>
        <v>10</v>
      </c>
      <c r="N17" s="30">
        <f t="shared" si="6"/>
        <v>0.6</v>
      </c>
      <c r="O17" s="232">
        <f>9</f>
        <v>9</v>
      </c>
      <c r="P17" s="30">
        <f t="shared" si="7"/>
        <v>0.54</v>
      </c>
      <c r="Q17" s="232">
        <f>10+11</f>
        <v>21</v>
      </c>
      <c r="R17" s="30">
        <f t="shared" si="8"/>
        <v>1.26</v>
      </c>
      <c r="S17" s="232">
        <v>20</v>
      </c>
      <c r="T17" s="30">
        <f t="shared" si="9"/>
        <v>1.2</v>
      </c>
      <c r="U17" s="232">
        <f>10</f>
        <v>10</v>
      </c>
      <c r="V17" s="30">
        <f t="shared" si="10"/>
        <v>0.6</v>
      </c>
      <c r="W17" s="238">
        <v>10</v>
      </c>
      <c r="X17" s="30">
        <f t="shared" si="11"/>
        <v>0.6</v>
      </c>
      <c r="Y17" s="37">
        <f t="shared" si="0"/>
        <v>131</v>
      </c>
      <c r="Z17" s="30">
        <f t="shared" si="12"/>
        <v>7.86</v>
      </c>
      <c r="AA17" s="61">
        <f t="shared" si="1"/>
        <v>655</v>
      </c>
      <c r="AB17" s="61"/>
      <c r="AC17" s="29">
        <f>(Y17+завтрак!Y17+полдник!Y17)/10</f>
        <v>14.3</v>
      </c>
    </row>
    <row r="18" spans="1:29" ht="15">
      <c r="A18" s="33">
        <v>16</v>
      </c>
      <c r="B18" s="31" t="str">
        <f>завтрак!B18</f>
        <v>Свекла (1 сорт)</v>
      </c>
      <c r="C18" s="32" t="str">
        <f>завтрак!C18</f>
        <v>кг</v>
      </c>
      <c r="D18" s="46">
        <f>завтрак!D18</f>
        <v>51</v>
      </c>
      <c r="E18" s="232">
        <v>65</v>
      </c>
      <c r="F18" s="30">
        <f t="shared" si="2"/>
        <v>3.32</v>
      </c>
      <c r="G18" s="232"/>
      <c r="H18" s="30">
        <f t="shared" si="3"/>
        <v>0</v>
      </c>
      <c r="I18" s="232"/>
      <c r="J18" s="30">
        <f t="shared" si="4"/>
        <v>0</v>
      </c>
      <c r="K18" s="232">
        <v>41</v>
      </c>
      <c r="L18" s="30">
        <f t="shared" si="5"/>
        <v>2.09</v>
      </c>
      <c r="M18" s="238"/>
      <c r="N18" s="30">
        <f t="shared" si="6"/>
        <v>0</v>
      </c>
      <c r="O18" s="232"/>
      <c r="P18" s="30">
        <f t="shared" si="7"/>
        <v>0</v>
      </c>
      <c r="Q18" s="232"/>
      <c r="R18" s="30">
        <f t="shared" si="8"/>
        <v>0</v>
      </c>
      <c r="S18" s="232"/>
      <c r="T18" s="30">
        <f t="shared" si="9"/>
        <v>0</v>
      </c>
      <c r="U18" s="232"/>
      <c r="V18" s="30">
        <f t="shared" si="10"/>
        <v>0</v>
      </c>
      <c r="W18" s="238">
        <v>40</v>
      </c>
      <c r="X18" s="30">
        <f t="shared" si="11"/>
        <v>2.04</v>
      </c>
      <c r="Y18" s="37">
        <f t="shared" si="0"/>
        <v>146</v>
      </c>
      <c r="Z18" s="30">
        <f t="shared" si="12"/>
        <v>7.45</v>
      </c>
      <c r="AA18" s="61">
        <f t="shared" si="1"/>
        <v>730</v>
      </c>
      <c r="AB18" s="61"/>
      <c r="AC18" s="29">
        <f>(Y18+завтрак!Y18+полдник!Y18)/10</f>
        <v>14.6</v>
      </c>
    </row>
    <row r="19" spans="1:29" ht="30">
      <c r="A19" s="33">
        <v>17</v>
      </c>
      <c r="B19" s="31" t="str">
        <f>завтрак!B19</f>
        <v>Огурцы консервированные без уксуса (1 с)</v>
      </c>
      <c r="C19" s="32" t="str">
        <f>завтрак!C19</f>
        <v>кг</v>
      </c>
      <c r="D19" s="46">
        <f>завтрак!D19</f>
        <v>74</v>
      </c>
      <c r="E19" s="232"/>
      <c r="F19" s="30">
        <f t="shared" si="2"/>
        <v>0</v>
      </c>
      <c r="G19" s="232"/>
      <c r="H19" s="30">
        <f t="shared" si="3"/>
        <v>0</v>
      </c>
      <c r="I19" s="232"/>
      <c r="J19" s="30">
        <f t="shared" si="4"/>
        <v>0</v>
      </c>
      <c r="K19" s="232"/>
      <c r="L19" s="30">
        <f t="shared" si="5"/>
        <v>0</v>
      </c>
      <c r="M19" s="238"/>
      <c r="N19" s="30">
        <f t="shared" si="6"/>
        <v>0</v>
      </c>
      <c r="O19" s="232">
        <v>16</v>
      </c>
      <c r="P19" s="30">
        <f t="shared" si="7"/>
        <v>1.18</v>
      </c>
      <c r="Q19" s="232"/>
      <c r="R19" s="30">
        <f t="shared" si="8"/>
        <v>0</v>
      </c>
      <c r="S19" s="232"/>
      <c r="T19" s="30">
        <f t="shared" si="9"/>
        <v>0</v>
      </c>
      <c r="U19" s="232"/>
      <c r="V19" s="30">
        <f t="shared" si="10"/>
        <v>0</v>
      </c>
      <c r="W19" s="238"/>
      <c r="X19" s="30">
        <f t="shared" si="11"/>
        <v>0</v>
      </c>
      <c r="Y19" s="37">
        <f>(E19+G19+I19+K19+M19+O19+Q19+S19+U19+W19)</f>
        <v>16</v>
      </c>
      <c r="Z19" s="30">
        <f t="shared" si="12"/>
        <v>1.18</v>
      </c>
      <c r="AA19" s="61">
        <f t="shared" si="1"/>
        <v>80</v>
      </c>
      <c r="AB19" s="61"/>
      <c r="AC19" s="29">
        <f>(Y19+завтрак!Y19+полдник!Y19)/10</f>
        <v>7.9</v>
      </c>
    </row>
    <row r="20" spans="1:29" ht="15.75" customHeight="1">
      <c r="A20" s="33">
        <v>18</v>
      </c>
      <c r="B20" s="31" t="str">
        <f>завтрак!B20</f>
        <v>Икра кабачковая для дет. питания</v>
      </c>
      <c r="C20" s="32" t="str">
        <f>завтрак!C20</f>
        <v>кг</v>
      </c>
      <c r="D20" s="46">
        <f>завтрак!D20</f>
        <v>123</v>
      </c>
      <c r="E20" s="232"/>
      <c r="F20" s="30">
        <f t="shared" si="2"/>
        <v>0</v>
      </c>
      <c r="G20" s="232"/>
      <c r="H20" s="30">
        <f t="shared" si="3"/>
        <v>0</v>
      </c>
      <c r="I20" s="232"/>
      <c r="J20" s="30">
        <f t="shared" si="4"/>
        <v>0</v>
      </c>
      <c r="K20" s="232"/>
      <c r="L20" s="30">
        <f t="shared" si="5"/>
        <v>0</v>
      </c>
      <c r="M20" s="238"/>
      <c r="N20" s="30">
        <f t="shared" si="6"/>
        <v>0</v>
      </c>
      <c r="O20" s="232"/>
      <c r="P20" s="30">
        <f t="shared" si="7"/>
        <v>0</v>
      </c>
      <c r="Q20" s="232"/>
      <c r="R20" s="30">
        <f t="shared" si="8"/>
        <v>0</v>
      </c>
      <c r="S20" s="232"/>
      <c r="T20" s="30">
        <f t="shared" si="9"/>
        <v>0</v>
      </c>
      <c r="U20" s="232"/>
      <c r="V20" s="30">
        <f t="shared" si="10"/>
        <v>0</v>
      </c>
      <c r="W20" s="238"/>
      <c r="X20" s="30">
        <f t="shared" si="11"/>
        <v>0</v>
      </c>
      <c r="Y20" s="37">
        <f t="shared" si="0"/>
        <v>0</v>
      </c>
      <c r="Z20" s="30">
        <f t="shared" si="12"/>
        <v>0</v>
      </c>
      <c r="AA20" s="61">
        <f t="shared" si="1"/>
        <v>0</v>
      </c>
      <c r="AB20" s="61"/>
      <c r="AC20" s="29">
        <f>(Y20+завтрак!Y20+полдник!Y20)/10</f>
        <v>2.5</v>
      </c>
    </row>
    <row r="21" spans="1:29" ht="30">
      <c r="A21" s="33">
        <v>19</v>
      </c>
      <c r="B21" s="31" t="str">
        <f>завтрак!B21</f>
        <v>Горошек зеленый (сорт салатный)</v>
      </c>
      <c r="C21" s="32" t="str">
        <f>завтрак!C21</f>
        <v>кг</v>
      </c>
      <c r="D21" s="46">
        <f>завтрак!D21</f>
        <v>123</v>
      </c>
      <c r="E21" s="232"/>
      <c r="F21" s="30">
        <f t="shared" si="2"/>
        <v>0</v>
      </c>
      <c r="G21" s="232"/>
      <c r="H21" s="30">
        <f t="shared" si="3"/>
        <v>0</v>
      </c>
      <c r="I21" s="232"/>
      <c r="J21" s="30">
        <f t="shared" si="4"/>
        <v>0</v>
      </c>
      <c r="K21" s="232"/>
      <c r="L21" s="30">
        <f t="shared" si="5"/>
        <v>0</v>
      </c>
      <c r="M21" s="238"/>
      <c r="N21" s="30">
        <f t="shared" si="6"/>
        <v>0</v>
      </c>
      <c r="O21" s="232"/>
      <c r="P21" s="30">
        <f t="shared" si="7"/>
        <v>0</v>
      </c>
      <c r="Q21" s="232"/>
      <c r="R21" s="30">
        <f t="shared" si="8"/>
        <v>0</v>
      </c>
      <c r="S21" s="232"/>
      <c r="T21" s="30">
        <f t="shared" si="9"/>
        <v>0</v>
      </c>
      <c r="U21" s="232"/>
      <c r="V21" s="30">
        <f t="shared" si="10"/>
        <v>0</v>
      </c>
      <c r="W21" s="238"/>
      <c r="X21" s="30">
        <f t="shared" si="11"/>
        <v>0</v>
      </c>
      <c r="Y21" s="37">
        <f t="shared" si="0"/>
        <v>0</v>
      </c>
      <c r="Z21" s="30">
        <f t="shared" si="12"/>
        <v>0</v>
      </c>
      <c r="AA21" s="61">
        <f t="shared" si="1"/>
        <v>0</v>
      </c>
      <c r="AB21" s="61"/>
      <c r="AC21" s="29">
        <f>(Y21+завтрак!Y21+полдник!Y21)/10</f>
        <v>0</v>
      </c>
    </row>
    <row r="22" spans="1:29" ht="30">
      <c r="A22" s="33">
        <v>20</v>
      </c>
      <c r="B22" s="31" t="str">
        <f>завтрак!B22</f>
        <v>Томатная паста с содержанием с/в (25-30%)</v>
      </c>
      <c r="C22" s="32" t="str">
        <f>завтрак!C22</f>
        <v>кг</v>
      </c>
      <c r="D22" s="46">
        <f>завтрак!D22</f>
        <v>142</v>
      </c>
      <c r="E22" s="232">
        <v>2</v>
      </c>
      <c r="F22" s="30">
        <f t="shared" si="2"/>
        <v>0.28</v>
      </c>
      <c r="G22" s="232">
        <v>1</v>
      </c>
      <c r="H22" s="30">
        <f t="shared" si="3"/>
        <v>0.14</v>
      </c>
      <c r="I22" s="232">
        <v>2</v>
      </c>
      <c r="J22" s="30">
        <f t="shared" si="4"/>
        <v>0.28</v>
      </c>
      <c r="K22" s="232">
        <v>2</v>
      </c>
      <c r="L22" s="30">
        <f t="shared" si="5"/>
        <v>0.28</v>
      </c>
      <c r="M22" s="238"/>
      <c r="N22" s="30">
        <f t="shared" si="6"/>
        <v>0</v>
      </c>
      <c r="O22" s="232"/>
      <c r="P22" s="30">
        <f t="shared" si="7"/>
        <v>0</v>
      </c>
      <c r="Q22" s="232">
        <v>2</v>
      </c>
      <c r="R22" s="30">
        <f t="shared" si="8"/>
        <v>0.28</v>
      </c>
      <c r="S22" s="232"/>
      <c r="T22" s="30">
        <f t="shared" si="9"/>
        <v>0</v>
      </c>
      <c r="U22" s="232"/>
      <c r="V22" s="30">
        <f t="shared" si="10"/>
        <v>0</v>
      </c>
      <c r="W22" s="238">
        <v>2</v>
      </c>
      <c r="X22" s="30">
        <f t="shared" si="11"/>
        <v>0.28</v>
      </c>
      <c r="Y22" s="37">
        <f t="shared" si="0"/>
        <v>11</v>
      </c>
      <c r="Z22" s="30">
        <f t="shared" si="12"/>
        <v>1.56</v>
      </c>
      <c r="AA22" s="61">
        <f t="shared" si="1"/>
        <v>55</v>
      </c>
      <c r="AB22" s="61"/>
      <c r="AC22" s="29">
        <f>(Y22+завтрак!Y22+полдник!Y22)/10</f>
        <v>1.8</v>
      </c>
    </row>
    <row r="23" spans="1:29" ht="15">
      <c r="A23" s="33">
        <v>21</v>
      </c>
      <c r="B23" s="31" t="str">
        <f>завтрак!B23</f>
        <v>Яблоки свежие (1 сорт)</v>
      </c>
      <c r="C23" s="32" t="str">
        <f>завтрак!C23</f>
        <v>кг</v>
      </c>
      <c r="D23" s="46">
        <f>завтрак!D23</f>
        <v>110</v>
      </c>
      <c r="E23" s="232"/>
      <c r="F23" s="30">
        <f t="shared" si="2"/>
        <v>0</v>
      </c>
      <c r="G23" s="232"/>
      <c r="H23" s="30">
        <f t="shared" si="3"/>
        <v>0</v>
      </c>
      <c r="I23" s="232"/>
      <c r="J23" s="30">
        <f t="shared" si="4"/>
        <v>0</v>
      </c>
      <c r="K23" s="232"/>
      <c r="L23" s="30">
        <f t="shared" si="5"/>
        <v>0</v>
      </c>
      <c r="M23" s="238"/>
      <c r="N23" s="30">
        <f t="shared" si="6"/>
        <v>0</v>
      </c>
      <c r="O23" s="232"/>
      <c r="P23" s="30">
        <f t="shared" si="7"/>
        <v>0</v>
      </c>
      <c r="Q23" s="232"/>
      <c r="R23" s="30">
        <f t="shared" si="8"/>
        <v>0</v>
      </c>
      <c r="S23" s="232"/>
      <c r="T23" s="30">
        <f t="shared" si="9"/>
        <v>0</v>
      </c>
      <c r="U23" s="232"/>
      <c r="V23" s="30">
        <f t="shared" si="10"/>
        <v>0</v>
      </c>
      <c r="W23" s="238"/>
      <c r="X23" s="30">
        <f t="shared" si="11"/>
        <v>0</v>
      </c>
      <c r="Y23" s="37">
        <f t="shared" si="0"/>
        <v>0</v>
      </c>
      <c r="Z23" s="30">
        <f t="shared" si="12"/>
        <v>0</v>
      </c>
      <c r="AA23" s="61">
        <f t="shared" si="1"/>
        <v>0</v>
      </c>
      <c r="AB23" s="61"/>
      <c r="AC23" s="29">
        <f>(Y23+завтрак!Y23+полдник!Y23)/10</f>
        <v>0</v>
      </c>
    </row>
    <row r="24" spans="1:29" ht="15">
      <c r="A24" s="33">
        <v>22</v>
      </c>
      <c r="B24" s="31" t="str">
        <f>завтрак!B24</f>
        <v>Бананы свежие (1 сорт)</v>
      </c>
      <c r="C24" s="32" t="str">
        <f>завтрак!C24</f>
        <v>кг</v>
      </c>
      <c r="D24" s="46">
        <f>завтрак!D24</f>
        <v>172</v>
      </c>
      <c r="E24" s="232"/>
      <c r="F24" s="30">
        <f t="shared" si="2"/>
        <v>0</v>
      </c>
      <c r="G24" s="232"/>
      <c r="H24" s="30">
        <f t="shared" si="3"/>
        <v>0</v>
      </c>
      <c r="I24" s="232"/>
      <c r="J24" s="30">
        <f t="shared" si="4"/>
        <v>0</v>
      </c>
      <c r="K24" s="232"/>
      <c r="L24" s="30">
        <f t="shared" si="5"/>
        <v>0</v>
      </c>
      <c r="M24" s="238"/>
      <c r="N24" s="30">
        <f t="shared" si="6"/>
        <v>0</v>
      </c>
      <c r="O24" s="232"/>
      <c r="P24" s="30">
        <f t="shared" si="7"/>
        <v>0</v>
      </c>
      <c r="Q24" s="232"/>
      <c r="R24" s="30">
        <f t="shared" si="8"/>
        <v>0</v>
      </c>
      <c r="S24" s="232"/>
      <c r="T24" s="30">
        <f t="shared" si="9"/>
        <v>0</v>
      </c>
      <c r="U24" s="232"/>
      <c r="V24" s="30">
        <f t="shared" si="10"/>
        <v>0</v>
      </c>
      <c r="W24" s="238"/>
      <c r="X24" s="30">
        <f t="shared" si="11"/>
        <v>0</v>
      </c>
      <c r="Y24" s="37">
        <f t="shared" si="0"/>
        <v>0</v>
      </c>
      <c r="Z24" s="30">
        <f t="shared" si="12"/>
        <v>0</v>
      </c>
      <c r="AA24" s="61">
        <f t="shared" si="1"/>
        <v>0</v>
      </c>
      <c r="AB24" s="61"/>
      <c r="AC24" s="29">
        <f>(Y24+завтрак!Y24+полдник!Y24)/10</f>
        <v>0</v>
      </c>
    </row>
    <row r="25" spans="1:29" ht="15">
      <c r="A25" s="33">
        <v>23</v>
      </c>
      <c r="B25" s="31" t="str">
        <f>завтрак!B25</f>
        <v>Сухофрукты ассорти</v>
      </c>
      <c r="C25" s="32" t="str">
        <f>завтрак!C25</f>
        <v>кг</v>
      </c>
      <c r="D25" s="46">
        <f>завтрак!D25</f>
        <v>140</v>
      </c>
      <c r="E25" s="232">
        <v>12</v>
      </c>
      <c r="F25" s="30">
        <f t="shared" si="2"/>
        <v>1.68</v>
      </c>
      <c r="G25" s="232"/>
      <c r="H25" s="30">
        <f t="shared" si="3"/>
        <v>0</v>
      </c>
      <c r="I25" s="232">
        <v>14</v>
      </c>
      <c r="J25" s="30">
        <f t="shared" si="4"/>
        <v>1.96</v>
      </c>
      <c r="K25" s="232"/>
      <c r="L25" s="30">
        <f t="shared" si="5"/>
        <v>0</v>
      </c>
      <c r="M25" s="238">
        <v>14</v>
      </c>
      <c r="N25" s="30">
        <f t="shared" si="6"/>
        <v>1.96</v>
      </c>
      <c r="O25" s="232">
        <v>13</v>
      </c>
      <c r="P25" s="30">
        <f t="shared" si="7"/>
        <v>1.82</v>
      </c>
      <c r="Q25" s="232">
        <v>14</v>
      </c>
      <c r="R25" s="30">
        <f t="shared" si="8"/>
        <v>1.96</v>
      </c>
      <c r="S25" s="232">
        <v>14</v>
      </c>
      <c r="T25" s="30">
        <f t="shared" si="9"/>
        <v>1.96</v>
      </c>
      <c r="U25" s="232">
        <v>14</v>
      </c>
      <c r="V25" s="30">
        <f t="shared" si="10"/>
        <v>1.96</v>
      </c>
      <c r="W25" s="238">
        <v>11</v>
      </c>
      <c r="X25" s="30">
        <f t="shared" si="11"/>
        <v>1.54</v>
      </c>
      <c r="Y25" s="37">
        <f t="shared" si="0"/>
        <v>106</v>
      </c>
      <c r="Z25" s="30">
        <f t="shared" si="12"/>
        <v>14.84</v>
      </c>
      <c r="AA25" s="61">
        <f t="shared" si="1"/>
        <v>530</v>
      </c>
      <c r="AB25" s="61"/>
      <c r="AC25" s="29">
        <f>(Y25+завтрак!Y25+полдник!Y25)/10</f>
        <v>10.6</v>
      </c>
    </row>
    <row r="26" spans="1:29" ht="15">
      <c r="A26" s="33">
        <v>24</v>
      </c>
      <c r="B26" s="31" t="str">
        <f>завтрак!B26</f>
        <v>Изюм</v>
      </c>
      <c r="C26" s="32" t="str">
        <f>завтрак!C26</f>
        <v>кг</v>
      </c>
      <c r="D26" s="46">
        <f>завтрак!D26</f>
        <v>293</v>
      </c>
      <c r="E26" s="232"/>
      <c r="F26" s="30">
        <f t="shared" si="2"/>
        <v>0</v>
      </c>
      <c r="G26" s="232"/>
      <c r="H26" s="30">
        <f t="shared" si="3"/>
        <v>0</v>
      </c>
      <c r="I26" s="232"/>
      <c r="J26" s="30">
        <f t="shared" si="4"/>
        <v>0</v>
      </c>
      <c r="K26" s="232"/>
      <c r="L26" s="30">
        <f t="shared" si="5"/>
        <v>0</v>
      </c>
      <c r="M26" s="238"/>
      <c r="N26" s="30">
        <f t="shared" si="6"/>
        <v>0</v>
      </c>
      <c r="O26" s="232"/>
      <c r="P26" s="30">
        <f t="shared" si="7"/>
        <v>0</v>
      </c>
      <c r="Q26" s="232"/>
      <c r="R26" s="30">
        <f t="shared" si="8"/>
        <v>0</v>
      </c>
      <c r="S26" s="232"/>
      <c r="T26" s="30">
        <f t="shared" si="9"/>
        <v>0</v>
      </c>
      <c r="U26" s="232"/>
      <c r="V26" s="30">
        <f t="shared" si="10"/>
        <v>0</v>
      </c>
      <c r="W26" s="238"/>
      <c r="X26" s="30">
        <f t="shared" si="11"/>
        <v>0</v>
      </c>
      <c r="Y26" s="37">
        <f t="shared" si="0"/>
        <v>0</v>
      </c>
      <c r="Z26" s="30">
        <f t="shared" si="12"/>
        <v>0</v>
      </c>
      <c r="AA26" s="61">
        <f t="shared" si="1"/>
        <v>0</v>
      </c>
      <c r="AB26" s="61"/>
      <c r="AC26" s="29">
        <f>(Y26+завтрак!Y26+полдник!Y26)/10</f>
        <v>0.8</v>
      </c>
    </row>
    <row r="27" spans="1:29" ht="15">
      <c r="A27" s="33">
        <v>25</v>
      </c>
      <c r="B27" s="31" t="str">
        <f>завтрак!B27</f>
        <v>Повидло фруктовое (1 сорт)</v>
      </c>
      <c r="C27" s="32" t="str">
        <f>завтрак!C27</f>
        <v>кг</v>
      </c>
      <c r="D27" s="46">
        <f>завтрак!D27</f>
        <v>147</v>
      </c>
      <c r="E27" s="232"/>
      <c r="F27" s="30">
        <f t="shared" si="2"/>
        <v>0</v>
      </c>
      <c r="G27" s="232"/>
      <c r="H27" s="30">
        <f t="shared" si="3"/>
        <v>0</v>
      </c>
      <c r="I27" s="232"/>
      <c r="J27" s="30">
        <f t="shared" si="4"/>
        <v>0</v>
      </c>
      <c r="K27" s="232"/>
      <c r="L27" s="30">
        <f t="shared" si="5"/>
        <v>0</v>
      </c>
      <c r="M27" s="238"/>
      <c r="N27" s="30">
        <f t="shared" si="6"/>
        <v>0</v>
      </c>
      <c r="O27" s="232"/>
      <c r="P27" s="30">
        <f t="shared" si="7"/>
        <v>0</v>
      </c>
      <c r="Q27" s="232"/>
      <c r="R27" s="30">
        <f t="shared" si="8"/>
        <v>0</v>
      </c>
      <c r="S27" s="232"/>
      <c r="T27" s="30">
        <f t="shared" si="9"/>
        <v>0</v>
      </c>
      <c r="U27" s="232"/>
      <c r="V27" s="30">
        <f t="shared" si="10"/>
        <v>0</v>
      </c>
      <c r="W27" s="238"/>
      <c r="X27" s="30">
        <f t="shared" si="11"/>
        <v>0</v>
      </c>
      <c r="Y27" s="37">
        <f t="shared" si="0"/>
        <v>0</v>
      </c>
      <c r="Z27" s="30">
        <f t="shared" si="12"/>
        <v>0</v>
      </c>
      <c r="AA27" s="61">
        <f t="shared" si="1"/>
        <v>0</v>
      </c>
      <c r="AB27" s="61"/>
      <c r="AC27" s="29">
        <f>(Y27+завтрак!Y27+полдник!Y27)/10</f>
        <v>1</v>
      </c>
    </row>
    <row r="28" spans="1:29" ht="15">
      <c r="A28" s="33">
        <v>26</v>
      </c>
      <c r="B28" s="31" t="str">
        <f>завтрак!B28</f>
        <v>Сок фруктовый (1 литр)</v>
      </c>
      <c r="C28" s="32" t="str">
        <f>завтрак!C28</f>
        <v>л</v>
      </c>
      <c r="D28" s="46">
        <f>завтрак!D28</f>
        <v>62</v>
      </c>
      <c r="E28" s="232"/>
      <c r="F28" s="30">
        <f t="shared" si="2"/>
        <v>0</v>
      </c>
      <c r="G28" s="232"/>
      <c r="H28" s="30">
        <f t="shared" si="3"/>
        <v>0</v>
      </c>
      <c r="I28" s="232"/>
      <c r="J28" s="30">
        <f t="shared" si="4"/>
        <v>0</v>
      </c>
      <c r="K28" s="232"/>
      <c r="L28" s="30">
        <f t="shared" si="5"/>
        <v>0</v>
      </c>
      <c r="M28" s="238"/>
      <c r="N28" s="30">
        <f t="shared" si="6"/>
        <v>0</v>
      </c>
      <c r="O28" s="232"/>
      <c r="P28" s="30">
        <f t="shared" si="7"/>
        <v>0</v>
      </c>
      <c r="Q28" s="232"/>
      <c r="R28" s="30">
        <f t="shared" si="8"/>
        <v>0</v>
      </c>
      <c r="S28" s="232"/>
      <c r="T28" s="30">
        <f t="shared" si="9"/>
        <v>0</v>
      </c>
      <c r="U28" s="232"/>
      <c r="V28" s="30">
        <f t="shared" si="10"/>
        <v>0</v>
      </c>
      <c r="W28" s="238"/>
      <c r="X28" s="30">
        <f t="shared" si="11"/>
        <v>0</v>
      </c>
      <c r="Y28" s="37">
        <f t="shared" si="0"/>
        <v>0</v>
      </c>
      <c r="Z28" s="30">
        <f t="shared" si="12"/>
        <v>0</v>
      </c>
      <c r="AA28" s="61">
        <f t="shared" si="1"/>
        <v>0</v>
      </c>
      <c r="AB28" s="61"/>
      <c r="AC28" s="29">
        <f>(Y28+завтрак!Y28+полдник!Y28)/10</f>
        <v>165</v>
      </c>
    </row>
    <row r="29" spans="1:29" ht="30">
      <c r="A29" s="33">
        <v>27</v>
      </c>
      <c r="B29" s="31" t="str">
        <f>завтрак!B29</f>
        <v>Масло растительное, рафинированное</v>
      </c>
      <c r="C29" s="32" t="str">
        <f>завтрак!C29</f>
        <v>кг</v>
      </c>
      <c r="D29" s="46">
        <f>завтрак!D29</f>
        <v>145</v>
      </c>
      <c r="E29" s="232">
        <f>4</f>
        <v>4</v>
      </c>
      <c r="F29" s="30">
        <f t="shared" si="2"/>
        <v>0.58</v>
      </c>
      <c r="G29" s="232">
        <v>4</v>
      </c>
      <c r="H29" s="30">
        <f t="shared" si="3"/>
        <v>0.58</v>
      </c>
      <c r="I29" s="232">
        <v>1</v>
      </c>
      <c r="J29" s="30">
        <f t="shared" si="4"/>
        <v>0.15</v>
      </c>
      <c r="K29" s="232">
        <f>3+4+5</f>
        <v>12</v>
      </c>
      <c r="L29" s="30">
        <f t="shared" si="5"/>
        <v>1.74</v>
      </c>
      <c r="M29" s="238">
        <f>4+3</f>
        <v>7</v>
      </c>
      <c r="N29" s="30">
        <f t="shared" si="6"/>
        <v>1.02</v>
      </c>
      <c r="O29" s="232">
        <f>4+2</f>
        <v>6</v>
      </c>
      <c r="P29" s="30">
        <f t="shared" si="7"/>
        <v>0.87</v>
      </c>
      <c r="Q29" s="232">
        <f>4+8</f>
        <v>12</v>
      </c>
      <c r="R29" s="30">
        <f t="shared" si="8"/>
        <v>1.74</v>
      </c>
      <c r="S29" s="232">
        <f>5+6</f>
        <v>11</v>
      </c>
      <c r="T29" s="30">
        <f t="shared" si="9"/>
        <v>1.6</v>
      </c>
      <c r="U29" s="232">
        <f>4+4</f>
        <v>8</v>
      </c>
      <c r="V29" s="30">
        <f t="shared" si="10"/>
        <v>1.16</v>
      </c>
      <c r="W29" s="238">
        <v>4</v>
      </c>
      <c r="X29" s="30">
        <f t="shared" si="11"/>
        <v>0.58</v>
      </c>
      <c r="Y29" s="37">
        <f t="shared" si="0"/>
        <v>69</v>
      </c>
      <c r="Z29" s="30">
        <f t="shared" si="12"/>
        <v>10.01</v>
      </c>
      <c r="AA29" s="61">
        <f t="shared" si="1"/>
        <v>345</v>
      </c>
      <c r="AB29" s="61"/>
      <c r="AC29" s="29">
        <f>(Y29+завтрак!Y29+полдник!Y29)/10</f>
        <v>11</v>
      </c>
    </row>
    <row r="30" spans="1:29" ht="15">
      <c r="A30" s="33">
        <v>28</v>
      </c>
      <c r="B30" s="31" t="str">
        <f>завтрак!B30</f>
        <v>Рыба с/м (1 сорт), минтай</v>
      </c>
      <c r="C30" s="32" t="str">
        <f>завтрак!C30</f>
        <v>кг</v>
      </c>
      <c r="D30" s="46">
        <f>завтрак!D30</f>
        <v>210</v>
      </c>
      <c r="E30" s="232"/>
      <c r="F30" s="30">
        <f t="shared" si="2"/>
        <v>0</v>
      </c>
      <c r="G30" s="232"/>
      <c r="H30" s="30">
        <f t="shared" si="3"/>
        <v>0</v>
      </c>
      <c r="I30" s="232"/>
      <c r="J30" s="30">
        <f t="shared" si="4"/>
        <v>0</v>
      </c>
      <c r="K30" s="232">
        <v>64</v>
      </c>
      <c r="L30" s="30">
        <f t="shared" si="5"/>
        <v>13.44</v>
      </c>
      <c r="M30" s="238"/>
      <c r="N30" s="30">
        <f t="shared" si="6"/>
        <v>0</v>
      </c>
      <c r="O30" s="232"/>
      <c r="P30" s="30">
        <f t="shared" si="7"/>
        <v>0</v>
      </c>
      <c r="Q30" s="232"/>
      <c r="R30" s="30">
        <f t="shared" si="8"/>
        <v>0</v>
      </c>
      <c r="S30" s="232">
        <v>83</v>
      </c>
      <c r="T30" s="30">
        <f t="shared" si="9"/>
        <v>17.43</v>
      </c>
      <c r="U30" s="232"/>
      <c r="V30" s="30">
        <f t="shared" si="10"/>
        <v>0</v>
      </c>
      <c r="W30" s="238"/>
      <c r="X30" s="30">
        <f t="shared" si="11"/>
        <v>0</v>
      </c>
      <c r="Y30" s="37">
        <f t="shared" si="0"/>
        <v>147</v>
      </c>
      <c r="Z30" s="30">
        <f t="shared" si="12"/>
        <v>30.87</v>
      </c>
      <c r="AA30" s="61">
        <f t="shared" si="1"/>
        <v>735</v>
      </c>
      <c r="AB30" s="61"/>
      <c r="AC30" s="29">
        <f>(Y30+завтрак!Y30+полдник!Y30)/10</f>
        <v>14.7</v>
      </c>
    </row>
    <row r="31" spans="1:29" ht="16.5" customHeight="1">
      <c r="A31" s="33">
        <v>29</v>
      </c>
      <c r="B31" s="31">
        <f>завтрак!B31</f>
        <v>0</v>
      </c>
      <c r="C31" s="32">
        <f>завтрак!C31</f>
        <v>0</v>
      </c>
      <c r="D31" s="46">
        <f>завтрак!D31</f>
        <v>0</v>
      </c>
      <c r="E31" s="232"/>
      <c r="F31" s="30">
        <f t="shared" si="2"/>
        <v>0</v>
      </c>
      <c r="G31" s="232"/>
      <c r="H31" s="30">
        <f t="shared" si="3"/>
        <v>0</v>
      </c>
      <c r="I31" s="232"/>
      <c r="J31" s="30">
        <f t="shared" si="4"/>
        <v>0</v>
      </c>
      <c r="K31" s="232"/>
      <c r="L31" s="30">
        <f t="shared" si="5"/>
        <v>0</v>
      </c>
      <c r="M31" s="238"/>
      <c r="N31" s="30">
        <f t="shared" si="6"/>
        <v>0</v>
      </c>
      <c r="O31" s="232"/>
      <c r="P31" s="30">
        <f t="shared" si="7"/>
        <v>0</v>
      </c>
      <c r="Q31" s="232"/>
      <c r="R31" s="30">
        <f t="shared" si="8"/>
        <v>0</v>
      </c>
      <c r="S31" s="232"/>
      <c r="T31" s="30">
        <f t="shared" si="9"/>
        <v>0</v>
      </c>
      <c r="U31" s="232"/>
      <c r="V31" s="30">
        <f t="shared" si="10"/>
        <v>0</v>
      </c>
      <c r="W31" s="238"/>
      <c r="X31" s="30">
        <f t="shared" si="11"/>
        <v>0</v>
      </c>
      <c r="Y31" s="37">
        <f t="shared" si="0"/>
        <v>0</v>
      </c>
      <c r="Z31" s="30">
        <f t="shared" si="12"/>
        <v>0</v>
      </c>
      <c r="AA31" s="61">
        <f t="shared" si="1"/>
        <v>0</v>
      </c>
      <c r="AB31" s="61"/>
      <c r="AC31" s="29">
        <f>(Y31+завтрак!Y31+полдник!Y31)/10</f>
        <v>0</v>
      </c>
    </row>
    <row r="32" spans="1:29" ht="15">
      <c r="A32" s="33">
        <v>30</v>
      </c>
      <c r="B32" s="31" t="str">
        <f>завтрак!B32</f>
        <v>Мука пшеничная (высший сорт)</v>
      </c>
      <c r="C32" s="32" t="str">
        <f>завтрак!C32</f>
        <v>кг</v>
      </c>
      <c r="D32" s="46">
        <f>завтрак!D32</f>
        <v>40</v>
      </c>
      <c r="E32" s="232"/>
      <c r="F32" s="30">
        <f t="shared" si="2"/>
        <v>0</v>
      </c>
      <c r="G32" s="232">
        <v>3</v>
      </c>
      <c r="H32" s="30">
        <f t="shared" si="3"/>
        <v>0.12</v>
      </c>
      <c r="I32" s="232">
        <f>10+2</f>
        <v>12</v>
      </c>
      <c r="J32" s="30">
        <f t="shared" si="4"/>
        <v>0.48</v>
      </c>
      <c r="K32" s="232"/>
      <c r="L32" s="30">
        <f t="shared" si="5"/>
        <v>0</v>
      </c>
      <c r="M32" s="238"/>
      <c r="N32" s="30">
        <f t="shared" si="6"/>
        <v>0</v>
      </c>
      <c r="O32" s="232"/>
      <c r="P32" s="30">
        <f t="shared" si="7"/>
        <v>0</v>
      </c>
      <c r="Q32" s="232"/>
      <c r="R32" s="30">
        <f t="shared" si="8"/>
        <v>0</v>
      </c>
      <c r="S32" s="232">
        <v>6</v>
      </c>
      <c r="T32" s="30">
        <f t="shared" si="9"/>
        <v>0.24</v>
      </c>
      <c r="U32" s="232"/>
      <c r="V32" s="30">
        <f t="shared" si="10"/>
        <v>0</v>
      </c>
      <c r="W32" s="238">
        <v>4</v>
      </c>
      <c r="X32" s="30">
        <v>0.17</v>
      </c>
      <c r="Y32" s="37">
        <f t="shared" si="0"/>
        <v>25</v>
      </c>
      <c r="Z32" s="30">
        <f t="shared" si="12"/>
        <v>1</v>
      </c>
      <c r="AA32" s="61">
        <f t="shared" si="1"/>
        <v>125</v>
      </c>
      <c r="AB32" s="61"/>
      <c r="AC32" s="29">
        <f>(Y32+завтрак!Y32+полдник!Y32)/10</f>
        <v>66.9</v>
      </c>
    </row>
    <row r="33" spans="1:29" ht="15">
      <c r="A33" s="33">
        <v>31</v>
      </c>
      <c r="B33" s="31" t="str">
        <f>завтрак!B33</f>
        <v>Крупа гречневая, в инд. уп.</v>
      </c>
      <c r="C33" s="32" t="str">
        <f>завтрак!C33</f>
        <v>кг</v>
      </c>
      <c r="D33" s="46">
        <f>завтрак!D33</f>
        <v>85</v>
      </c>
      <c r="E33" s="232"/>
      <c r="F33" s="30">
        <f t="shared" si="2"/>
        <v>0</v>
      </c>
      <c r="G33" s="232"/>
      <c r="H33" s="30">
        <f t="shared" si="3"/>
        <v>0</v>
      </c>
      <c r="I33" s="232"/>
      <c r="J33" s="30">
        <f t="shared" si="4"/>
        <v>0</v>
      </c>
      <c r="K33" s="232"/>
      <c r="L33" s="30">
        <f t="shared" si="5"/>
        <v>0</v>
      </c>
      <c r="M33" s="238">
        <v>50</v>
      </c>
      <c r="N33" s="30">
        <f t="shared" si="6"/>
        <v>4.25</v>
      </c>
      <c r="O33" s="232"/>
      <c r="P33" s="30">
        <f t="shared" si="7"/>
        <v>0</v>
      </c>
      <c r="Q33" s="232">
        <v>8</v>
      </c>
      <c r="R33" s="30">
        <f t="shared" si="8"/>
        <v>0.68</v>
      </c>
      <c r="S33" s="232"/>
      <c r="T33" s="30">
        <f t="shared" si="9"/>
        <v>0</v>
      </c>
      <c r="U33" s="232"/>
      <c r="V33" s="30">
        <f t="shared" si="10"/>
        <v>0</v>
      </c>
      <c r="W33" s="238"/>
      <c r="X33" s="30">
        <f t="shared" si="11"/>
        <v>0</v>
      </c>
      <c r="Y33" s="37">
        <f t="shared" si="0"/>
        <v>58</v>
      </c>
      <c r="Z33" s="30">
        <f t="shared" si="12"/>
        <v>4.93</v>
      </c>
      <c r="AA33" s="61">
        <f t="shared" si="1"/>
        <v>290</v>
      </c>
      <c r="AB33" s="61"/>
      <c r="AC33" s="29">
        <f>(Y33+завтрак!Y33+полдник!Y33)/10</f>
        <v>8</v>
      </c>
    </row>
    <row r="34" spans="1:29" ht="15">
      <c r="A34" s="33">
        <v>32</v>
      </c>
      <c r="B34" s="31" t="str">
        <f>завтрак!B34</f>
        <v>Крупа манная (1 сорт), в инд. уп.</v>
      </c>
      <c r="C34" s="32" t="str">
        <f>завтрак!C34</f>
        <v>кг</v>
      </c>
      <c r="D34" s="46">
        <f>завтрак!D34</f>
        <v>58</v>
      </c>
      <c r="E34" s="232"/>
      <c r="F34" s="30">
        <f t="shared" si="2"/>
        <v>0</v>
      </c>
      <c r="G34" s="232"/>
      <c r="H34" s="30">
        <f t="shared" si="3"/>
        <v>0</v>
      </c>
      <c r="I34" s="232"/>
      <c r="J34" s="30">
        <f t="shared" si="4"/>
        <v>0</v>
      </c>
      <c r="K34" s="232"/>
      <c r="L34" s="30">
        <f t="shared" si="5"/>
        <v>0</v>
      </c>
      <c r="M34" s="238"/>
      <c r="N34" s="30">
        <f t="shared" si="6"/>
        <v>0</v>
      </c>
      <c r="O34" s="232"/>
      <c r="P34" s="30">
        <f t="shared" si="7"/>
        <v>0</v>
      </c>
      <c r="Q34" s="232"/>
      <c r="R34" s="30">
        <f t="shared" si="8"/>
        <v>0</v>
      </c>
      <c r="S34" s="232"/>
      <c r="T34" s="30">
        <f t="shared" si="9"/>
        <v>0</v>
      </c>
      <c r="U34" s="232"/>
      <c r="V34" s="30">
        <f t="shared" si="10"/>
        <v>0</v>
      </c>
      <c r="W34" s="238"/>
      <c r="X34" s="30">
        <f t="shared" si="11"/>
        <v>0</v>
      </c>
      <c r="Y34" s="37">
        <f t="shared" si="0"/>
        <v>0</v>
      </c>
      <c r="Z34" s="30">
        <f t="shared" si="12"/>
        <v>0</v>
      </c>
      <c r="AA34" s="61">
        <f t="shared" si="1"/>
        <v>0</v>
      </c>
      <c r="AB34" s="61"/>
      <c r="AC34" s="29">
        <f>(Y34+завтрак!Y34+полдник!Y34)/10</f>
        <v>2</v>
      </c>
    </row>
    <row r="35" spans="1:29" ht="15">
      <c r="A35" s="33">
        <v>33</v>
      </c>
      <c r="B35" s="31" t="str">
        <f>завтрак!B35</f>
        <v>Рис (1 сорт), в инд. уп.</v>
      </c>
      <c r="C35" s="32" t="str">
        <f>завтрак!C35</f>
        <v>кг</v>
      </c>
      <c r="D35" s="46">
        <f>завтрак!D35</f>
        <v>116</v>
      </c>
      <c r="E35" s="232"/>
      <c r="F35" s="30">
        <f t="shared" si="2"/>
        <v>0</v>
      </c>
      <c r="G35" s="232"/>
      <c r="H35" s="30">
        <f t="shared" si="3"/>
        <v>0</v>
      </c>
      <c r="I35" s="232">
        <v>54</v>
      </c>
      <c r="J35" s="30">
        <v>6.27</v>
      </c>
      <c r="K35" s="232"/>
      <c r="L35" s="30">
        <f t="shared" si="5"/>
        <v>0</v>
      </c>
      <c r="M35" s="238"/>
      <c r="N35" s="30">
        <f t="shared" si="6"/>
        <v>0</v>
      </c>
      <c r="O35" s="232"/>
      <c r="P35" s="30">
        <f t="shared" si="7"/>
        <v>0</v>
      </c>
      <c r="Q35" s="232">
        <v>47</v>
      </c>
      <c r="R35" s="30">
        <f t="shared" si="8"/>
        <v>5.45</v>
      </c>
      <c r="S35" s="232"/>
      <c r="T35" s="30">
        <f t="shared" si="9"/>
        <v>0</v>
      </c>
      <c r="U35" s="232">
        <v>8</v>
      </c>
      <c r="V35" s="30">
        <f t="shared" si="10"/>
        <v>0.93</v>
      </c>
      <c r="W35" s="238"/>
      <c r="X35" s="30">
        <f t="shared" si="11"/>
        <v>0</v>
      </c>
      <c r="Y35" s="37">
        <f t="shared" si="0"/>
        <v>109</v>
      </c>
      <c r="Z35" s="30">
        <f t="shared" si="12"/>
        <v>12.64</v>
      </c>
      <c r="AA35" s="61">
        <f t="shared" si="1"/>
        <v>545</v>
      </c>
      <c r="AB35" s="61"/>
      <c r="AC35" s="29">
        <f>(Y35+завтрак!Y35+полдник!Y35)/10</f>
        <v>12.7</v>
      </c>
    </row>
    <row r="36" spans="1:29" ht="30">
      <c r="A36" s="33">
        <v>34</v>
      </c>
      <c r="B36" s="31" t="str">
        <f>завтрак!B36</f>
        <v>Крупа пшеничная (1 сорт), в инд уп.</v>
      </c>
      <c r="C36" s="32" t="str">
        <f>завтрак!C36</f>
        <v>кг</v>
      </c>
      <c r="D36" s="46">
        <f>завтрак!D36</f>
        <v>58</v>
      </c>
      <c r="E36" s="232"/>
      <c r="F36" s="30">
        <f t="shared" si="2"/>
        <v>0</v>
      </c>
      <c r="G36" s="232"/>
      <c r="H36" s="30">
        <f t="shared" si="3"/>
        <v>0</v>
      </c>
      <c r="I36" s="232"/>
      <c r="J36" s="30">
        <f t="shared" si="4"/>
        <v>0</v>
      </c>
      <c r="K36" s="232"/>
      <c r="L36" s="30">
        <f t="shared" si="5"/>
        <v>0</v>
      </c>
      <c r="M36" s="238"/>
      <c r="N36" s="30">
        <f t="shared" si="6"/>
        <v>0</v>
      </c>
      <c r="O36" s="232"/>
      <c r="P36" s="30">
        <f t="shared" si="7"/>
        <v>0</v>
      </c>
      <c r="Q36" s="232"/>
      <c r="R36" s="30">
        <f t="shared" si="8"/>
        <v>0</v>
      </c>
      <c r="S36" s="232"/>
      <c r="T36" s="30">
        <f t="shared" si="9"/>
        <v>0</v>
      </c>
      <c r="U36" s="232"/>
      <c r="V36" s="30">
        <f t="shared" si="10"/>
        <v>0</v>
      </c>
      <c r="W36" s="238">
        <v>38</v>
      </c>
      <c r="X36" s="30">
        <f t="shared" si="11"/>
        <v>2.2</v>
      </c>
      <c r="Y36" s="37">
        <f t="shared" si="0"/>
        <v>38</v>
      </c>
      <c r="Z36" s="30">
        <f t="shared" si="12"/>
        <v>2.2</v>
      </c>
      <c r="AA36" s="61">
        <f t="shared" si="1"/>
        <v>190</v>
      </c>
      <c r="AB36" s="61"/>
      <c r="AC36" s="29">
        <f>(Y36+завтрак!Y36+полдник!Y36)/10</f>
        <v>3.8</v>
      </c>
    </row>
    <row r="37" spans="1:29" ht="15">
      <c r="A37" s="33">
        <v>35</v>
      </c>
      <c r="B37" s="31" t="str">
        <f>завтрак!B37</f>
        <v>Пшено (1 сорт), в инд. уп.</v>
      </c>
      <c r="C37" s="32" t="str">
        <f>завтрак!C37</f>
        <v>кг</v>
      </c>
      <c r="D37" s="46">
        <f>завтрак!D37</f>
        <v>57</v>
      </c>
      <c r="E37" s="232"/>
      <c r="F37" s="30">
        <f t="shared" si="2"/>
        <v>0</v>
      </c>
      <c r="G37" s="232">
        <v>44</v>
      </c>
      <c r="H37" s="30">
        <f t="shared" si="3"/>
        <v>2.51</v>
      </c>
      <c r="I37" s="232"/>
      <c r="J37" s="30">
        <f t="shared" si="4"/>
        <v>0</v>
      </c>
      <c r="K37" s="232"/>
      <c r="L37" s="30">
        <f t="shared" si="5"/>
        <v>0</v>
      </c>
      <c r="M37" s="238"/>
      <c r="N37" s="30">
        <f t="shared" si="6"/>
        <v>0</v>
      </c>
      <c r="O37" s="232"/>
      <c r="P37" s="30">
        <f t="shared" si="7"/>
        <v>0</v>
      </c>
      <c r="Q37" s="232"/>
      <c r="R37" s="30">
        <f t="shared" si="8"/>
        <v>0</v>
      </c>
      <c r="S37" s="232"/>
      <c r="T37" s="30">
        <f t="shared" si="9"/>
        <v>0</v>
      </c>
      <c r="U37" s="232"/>
      <c r="V37" s="30">
        <f t="shared" si="10"/>
        <v>0</v>
      </c>
      <c r="W37" s="238"/>
      <c r="X37" s="30">
        <f t="shared" si="11"/>
        <v>0</v>
      </c>
      <c r="Y37" s="37">
        <f t="shared" si="0"/>
        <v>44</v>
      </c>
      <c r="Z37" s="30">
        <f t="shared" si="12"/>
        <v>2.51</v>
      </c>
      <c r="AA37" s="61">
        <f t="shared" si="1"/>
        <v>220</v>
      </c>
      <c r="AB37" s="61"/>
      <c r="AC37" s="29">
        <f>(Y37+завтрак!Y37+полдник!Y37)/10</f>
        <v>4.4</v>
      </c>
    </row>
    <row r="38" spans="1:29" ht="15">
      <c r="A38" s="33">
        <v>36</v>
      </c>
      <c r="B38" s="31" t="str">
        <f>завтрак!B38</f>
        <v>Горох шлифованный, в инд. уп.</v>
      </c>
      <c r="C38" s="32" t="str">
        <f>завтрак!C38</f>
        <v>кг</v>
      </c>
      <c r="D38" s="46">
        <f>завтрак!D38</f>
        <v>54</v>
      </c>
      <c r="E38" s="232"/>
      <c r="F38" s="30">
        <f t="shared" si="2"/>
        <v>0</v>
      </c>
      <c r="G38" s="232"/>
      <c r="H38" s="30">
        <f t="shared" si="3"/>
        <v>0</v>
      </c>
      <c r="I38" s="232"/>
      <c r="J38" s="30">
        <f t="shared" si="4"/>
        <v>0</v>
      </c>
      <c r="K38" s="232"/>
      <c r="L38" s="30">
        <f t="shared" si="5"/>
        <v>0</v>
      </c>
      <c r="M38" s="238">
        <v>14</v>
      </c>
      <c r="N38" s="30">
        <f t="shared" si="6"/>
        <v>0.76</v>
      </c>
      <c r="O38" s="232"/>
      <c r="P38" s="30">
        <f t="shared" si="7"/>
        <v>0</v>
      </c>
      <c r="Q38" s="232"/>
      <c r="R38" s="30">
        <f t="shared" si="8"/>
        <v>0</v>
      </c>
      <c r="S38" s="232"/>
      <c r="T38" s="30">
        <f t="shared" si="9"/>
        <v>0</v>
      </c>
      <c r="U38" s="232"/>
      <c r="V38" s="30">
        <f t="shared" si="10"/>
        <v>0</v>
      </c>
      <c r="W38" s="238"/>
      <c r="X38" s="30">
        <f t="shared" si="11"/>
        <v>0</v>
      </c>
      <c r="Y38" s="37">
        <f t="shared" si="0"/>
        <v>14</v>
      </c>
      <c r="Z38" s="30">
        <f t="shared" si="12"/>
        <v>0.76</v>
      </c>
      <c r="AA38" s="61">
        <f t="shared" si="1"/>
        <v>70</v>
      </c>
      <c r="AB38" s="61"/>
      <c r="AC38" s="29">
        <f>(Y38+завтрак!Y38+полдник!Y38)/10</f>
        <v>1.4</v>
      </c>
    </row>
    <row r="39" spans="1:29" ht="15">
      <c r="A39" s="33">
        <v>37</v>
      </c>
      <c r="B39" s="31" t="str">
        <f>завтрак!B39</f>
        <v>Крупа перловая, в инд. уп.</v>
      </c>
      <c r="C39" s="32" t="str">
        <f>завтрак!C39</f>
        <v>кг</v>
      </c>
      <c r="D39" s="46">
        <f>завтрак!D39</f>
        <v>48</v>
      </c>
      <c r="E39" s="232"/>
      <c r="F39" s="30">
        <f t="shared" si="2"/>
        <v>0</v>
      </c>
      <c r="G39" s="232"/>
      <c r="H39" s="30">
        <f t="shared" si="3"/>
        <v>0</v>
      </c>
      <c r="I39" s="232"/>
      <c r="J39" s="30">
        <f t="shared" si="4"/>
        <v>0</v>
      </c>
      <c r="K39" s="232"/>
      <c r="L39" s="30">
        <f t="shared" si="5"/>
        <v>0</v>
      </c>
      <c r="M39" s="238"/>
      <c r="N39" s="30">
        <f t="shared" si="6"/>
        <v>0</v>
      </c>
      <c r="O39" s="232">
        <v>8</v>
      </c>
      <c r="P39" s="30">
        <f t="shared" si="7"/>
        <v>0.38</v>
      </c>
      <c r="Q39" s="232"/>
      <c r="R39" s="30">
        <f t="shared" si="8"/>
        <v>0</v>
      </c>
      <c r="S39" s="232"/>
      <c r="T39" s="30">
        <f t="shared" si="9"/>
        <v>0</v>
      </c>
      <c r="U39" s="232"/>
      <c r="V39" s="30">
        <f t="shared" si="10"/>
        <v>0</v>
      </c>
      <c r="W39" s="238"/>
      <c r="X39" s="30">
        <f t="shared" si="11"/>
        <v>0</v>
      </c>
      <c r="Y39" s="37">
        <f t="shared" si="0"/>
        <v>8</v>
      </c>
      <c r="Z39" s="30">
        <f t="shared" si="12"/>
        <v>0.38</v>
      </c>
      <c r="AA39" s="61">
        <f t="shared" si="1"/>
        <v>40</v>
      </c>
      <c r="AB39" s="61"/>
      <c r="AC39" s="29">
        <f>(Y39+завтрак!Y39+полдник!Y39)/10</f>
        <v>0.8</v>
      </c>
    </row>
    <row r="40" spans="1:29" ht="15">
      <c r="A40" s="33">
        <v>38</v>
      </c>
      <c r="B40" s="31" t="str">
        <f>завтрак!B40</f>
        <v>Крупа ячневая, в инд. уп.</v>
      </c>
      <c r="C40" s="32" t="str">
        <f>завтрак!C40</f>
        <v>кг</v>
      </c>
      <c r="D40" s="46">
        <f>завтрак!D40</f>
        <v>48</v>
      </c>
      <c r="E40" s="232"/>
      <c r="F40" s="30">
        <f t="shared" si="2"/>
        <v>0</v>
      </c>
      <c r="G40" s="232"/>
      <c r="H40" s="30">
        <f t="shared" si="3"/>
        <v>0</v>
      </c>
      <c r="I40" s="232"/>
      <c r="J40" s="30">
        <f t="shared" si="4"/>
        <v>0</v>
      </c>
      <c r="K40" s="232"/>
      <c r="L40" s="30">
        <f t="shared" si="5"/>
        <v>0</v>
      </c>
      <c r="M40" s="238"/>
      <c r="N40" s="30">
        <f t="shared" si="6"/>
        <v>0</v>
      </c>
      <c r="O40" s="232"/>
      <c r="P40" s="30">
        <f t="shared" si="7"/>
        <v>0</v>
      </c>
      <c r="Q40" s="232"/>
      <c r="R40" s="30">
        <f t="shared" si="8"/>
        <v>0</v>
      </c>
      <c r="S40" s="232"/>
      <c r="T40" s="30">
        <f t="shared" si="9"/>
        <v>0</v>
      </c>
      <c r="U40" s="232">
        <v>49</v>
      </c>
      <c r="V40" s="30">
        <f t="shared" si="10"/>
        <v>2.35</v>
      </c>
      <c r="W40" s="238"/>
      <c r="X40" s="30">
        <f t="shared" si="11"/>
        <v>0</v>
      </c>
      <c r="Y40" s="37">
        <f t="shared" si="0"/>
        <v>49</v>
      </c>
      <c r="Z40" s="30">
        <f t="shared" si="12"/>
        <v>2.35</v>
      </c>
      <c r="AA40" s="61">
        <f t="shared" si="1"/>
        <v>245</v>
      </c>
      <c r="AB40" s="61"/>
      <c r="AC40" s="29">
        <f>(Y40+завтрак!Y40+полдник!Y40)/10</f>
        <v>4.9</v>
      </c>
    </row>
    <row r="41" spans="1:29" ht="15">
      <c r="A41" s="33">
        <v>39</v>
      </c>
      <c r="B41" s="31" t="str">
        <f>завтрак!B41</f>
        <v>Хлопья "Геркулес", в инд. уп.</v>
      </c>
      <c r="C41" s="32" t="str">
        <f>завтрак!C41</f>
        <v>кг</v>
      </c>
      <c r="D41" s="46">
        <f>завтрак!D41</f>
        <v>76</v>
      </c>
      <c r="E41" s="232"/>
      <c r="F41" s="30">
        <f t="shared" si="2"/>
        <v>0</v>
      </c>
      <c r="G41" s="232"/>
      <c r="H41" s="30">
        <f t="shared" si="3"/>
        <v>0</v>
      </c>
      <c r="I41" s="232"/>
      <c r="J41" s="30">
        <f t="shared" si="4"/>
        <v>0</v>
      </c>
      <c r="K41" s="232"/>
      <c r="L41" s="30">
        <f t="shared" si="5"/>
        <v>0</v>
      </c>
      <c r="M41" s="238"/>
      <c r="N41" s="30">
        <f t="shared" si="6"/>
        <v>0</v>
      </c>
      <c r="O41" s="232"/>
      <c r="P41" s="30">
        <f t="shared" si="7"/>
        <v>0</v>
      </c>
      <c r="Q41" s="232"/>
      <c r="R41" s="30">
        <f t="shared" si="8"/>
        <v>0</v>
      </c>
      <c r="S41" s="232"/>
      <c r="T41" s="30">
        <f t="shared" si="9"/>
        <v>0</v>
      </c>
      <c r="U41" s="232"/>
      <c r="V41" s="30">
        <f t="shared" si="10"/>
        <v>0</v>
      </c>
      <c r="W41" s="238"/>
      <c r="X41" s="30">
        <f t="shared" si="11"/>
        <v>0</v>
      </c>
      <c r="Y41" s="37">
        <f t="shared" si="0"/>
        <v>0</v>
      </c>
      <c r="Z41" s="30">
        <f t="shared" si="12"/>
        <v>0</v>
      </c>
      <c r="AA41" s="61">
        <f t="shared" si="1"/>
        <v>0</v>
      </c>
      <c r="AB41" s="61"/>
      <c r="AC41" s="29">
        <f>(Y41+завтрак!Y41+полдник!Y41)/10</f>
        <v>0</v>
      </c>
    </row>
    <row r="42" spans="1:29" ht="15">
      <c r="A42" s="33">
        <v>40</v>
      </c>
      <c r="B42" s="31" t="str">
        <f>завтрак!B42</f>
        <v>Сахар-песок</v>
      </c>
      <c r="C42" s="32" t="str">
        <f>завтрак!C42</f>
        <v>кг</v>
      </c>
      <c r="D42" s="46">
        <f>завтрак!D42</f>
        <v>85</v>
      </c>
      <c r="E42" s="232">
        <f>0.5+11</f>
        <v>11.5</v>
      </c>
      <c r="F42" s="30">
        <f t="shared" si="2"/>
        <v>0.98</v>
      </c>
      <c r="G42" s="232">
        <v>11</v>
      </c>
      <c r="H42" s="30">
        <f t="shared" si="3"/>
        <v>0.94</v>
      </c>
      <c r="I42" s="232">
        <v>10.5</v>
      </c>
      <c r="J42" s="30">
        <f t="shared" si="4"/>
        <v>0.89</v>
      </c>
      <c r="K42" s="232">
        <v>11</v>
      </c>
      <c r="L42" s="30">
        <f t="shared" si="5"/>
        <v>0.94</v>
      </c>
      <c r="M42" s="238">
        <v>13</v>
      </c>
      <c r="N42" s="30">
        <f t="shared" si="6"/>
        <v>1.11</v>
      </c>
      <c r="O42" s="232">
        <v>10</v>
      </c>
      <c r="P42" s="30">
        <f t="shared" si="7"/>
        <v>0.85</v>
      </c>
      <c r="Q42" s="232">
        <v>10</v>
      </c>
      <c r="R42" s="30">
        <f t="shared" si="8"/>
        <v>0.85</v>
      </c>
      <c r="S42" s="232">
        <v>14</v>
      </c>
      <c r="T42" s="30">
        <f t="shared" si="9"/>
        <v>1.19</v>
      </c>
      <c r="U42" s="232">
        <v>11</v>
      </c>
      <c r="V42" s="30">
        <f t="shared" si="10"/>
        <v>0.94</v>
      </c>
      <c r="W42" s="238">
        <v>10</v>
      </c>
      <c r="X42" s="30">
        <f t="shared" si="11"/>
        <v>0.85</v>
      </c>
      <c r="Y42" s="37">
        <f t="shared" si="0"/>
        <v>112</v>
      </c>
      <c r="Z42" s="30">
        <f t="shared" si="12"/>
        <v>9.52</v>
      </c>
      <c r="AA42" s="61">
        <f t="shared" si="1"/>
        <v>560</v>
      </c>
      <c r="AB42" s="61"/>
      <c r="AC42" s="29">
        <f>(Y42+завтрак!Y42+полдник!Y42)/10</f>
        <v>27.25</v>
      </c>
    </row>
    <row r="43" spans="1:29" ht="15">
      <c r="A43" s="33">
        <v>41</v>
      </c>
      <c r="B43" s="31" t="str">
        <f>завтрак!B43</f>
        <v>Макароны (высший сорт)</v>
      </c>
      <c r="C43" s="32" t="str">
        <f>завтрак!C43</f>
        <v>кг</v>
      </c>
      <c r="D43" s="46">
        <f>завтрак!D43</f>
        <v>46</v>
      </c>
      <c r="E43" s="232">
        <v>45</v>
      </c>
      <c r="F43" s="30">
        <f t="shared" si="2"/>
        <v>2.07</v>
      </c>
      <c r="G43" s="232"/>
      <c r="H43" s="30">
        <f t="shared" si="3"/>
        <v>0</v>
      </c>
      <c r="I43" s="232"/>
      <c r="J43" s="30">
        <f t="shared" si="4"/>
        <v>0</v>
      </c>
      <c r="K43" s="232"/>
      <c r="L43" s="30">
        <f t="shared" si="5"/>
        <v>0</v>
      </c>
      <c r="M43" s="238"/>
      <c r="N43" s="30">
        <f t="shared" si="6"/>
        <v>0</v>
      </c>
      <c r="O43" s="232">
        <v>38</v>
      </c>
      <c r="P43" s="30">
        <f t="shared" si="7"/>
        <v>1.75</v>
      </c>
      <c r="Q43" s="232"/>
      <c r="R43" s="30">
        <f t="shared" si="8"/>
        <v>0</v>
      </c>
      <c r="S43" s="232"/>
      <c r="T43" s="30">
        <f t="shared" si="9"/>
        <v>0</v>
      </c>
      <c r="U43" s="232"/>
      <c r="V43" s="30">
        <f t="shared" si="10"/>
        <v>0</v>
      </c>
      <c r="W43" s="238"/>
      <c r="X43" s="30">
        <f t="shared" si="11"/>
        <v>0</v>
      </c>
      <c r="Y43" s="37">
        <f t="shared" si="0"/>
        <v>83</v>
      </c>
      <c r="Z43" s="30">
        <f t="shared" si="12"/>
        <v>3.82</v>
      </c>
      <c r="AA43" s="61">
        <f t="shared" si="1"/>
        <v>415</v>
      </c>
      <c r="AB43" s="61"/>
      <c r="AC43" s="29">
        <f>(Y43+завтрак!Y43+полдник!Y43)/10</f>
        <v>14.7</v>
      </c>
    </row>
    <row r="44" spans="1:29" ht="15">
      <c r="A44" s="33">
        <v>42</v>
      </c>
      <c r="B44" s="31" t="str">
        <f>завтрак!B44</f>
        <v>Вермишель (высший сорт)</v>
      </c>
      <c r="C44" s="32" t="str">
        <f>завтрак!C44</f>
        <v>кг</v>
      </c>
      <c r="D44" s="46">
        <f>завтрак!D44</f>
        <v>47</v>
      </c>
      <c r="E44" s="232"/>
      <c r="F44" s="30">
        <f t="shared" si="2"/>
        <v>0</v>
      </c>
      <c r="G44" s="232">
        <v>8</v>
      </c>
      <c r="H44" s="30">
        <f t="shared" si="3"/>
        <v>0.38</v>
      </c>
      <c r="I44" s="232"/>
      <c r="J44" s="30">
        <f t="shared" si="4"/>
        <v>0</v>
      </c>
      <c r="K44" s="232"/>
      <c r="L44" s="30">
        <f t="shared" si="5"/>
        <v>0</v>
      </c>
      <c r="M44" s="238"/>
      <c r="N44" s="30">
        <f t="shared" si="6"/>
        <v>0</v>
      </c>
      <c r="O44" s="232"/>
      <c r="P44" s="30">
        <f t="shared" si="7"/>
        <v>0</v>
      </c>
      <c r="Q44" s="232"/>
      <c r="R44" s="30">
        <f t="shared" si="8"/>
        <v>0</v>
      </c>
      <c r="S44" s="232"/>
      <c r="T44" s="30">
        <f t="shared" si="9"/>
        <v>0</v>
      </c>
      <c r="U44" s="232"/>
      <c r="V44" s="30">
        <f t="shared" si="10"/>
        <v>0</v>
      </c>
      <c r="W44" s="238"/>
      <c r="X44" s="30">
        <f t="shared" si="11"/>
        <v>0</v>
      </c>
      <c r="Y44" s="37">
        <f t="shared" si="0"/>
        <v>8</v>
      </c>
      <c r="Z44" s="30">
        <f t="shared" si="12"/>
        <v>0.38</v>
      </c>
      <c r="AA44" s="61">
        <f t="shared" si="1"/>
        <v>40</v>
      </c>
      <c r="AB44" s="61"/>
      <c r="AC44" s="29">
        <f>(Y44+завтрак!Y44+полдник!Y44)/10</f>
        <v>3.6</v>
      </c>
    </row>
    <row r="45" spans="1:29" ht="15">
      <c r="A45" s="33">
        <v>43</v>
      </c>
      <c r="B45" s="31" t="str">
        <f>завтрак!B45</f>
        <v>Дрожжи сухие</v>
      </c>
      <c r="C45" s="32" t="str">
        <f>завтрак!C45</f>
        <v>кг</v>
      </c>
      <c r="D45" s="46">
        <f>завтрак!D45</f>
        <v>377</v>
      </c>
      <c r="E45" s="232"/>
      <c r="F45" s="30">
        <f t="shared" si="2"/>
        <v>0</v>
      </c>
      <c r="G45" s="232"/>
      <c r="H45" s="30">
        <f t="shared" si="3"/>
        <v>0</v>
      </c>
      <c r="I45" s="232"/>
      <c r="J45" s="30">
        <f t="shared" si="4"/>
        <v>0</v>
      </c>
      <c r="K45" s="232"/>
      <c r="L45" s="30">
        <f t="shared" si="5"/>
        <v>0</v>
      </c>
      <c r="M45" s="238"/>
      <c r="N45" s="30">
        <f t="shared" si="6"/>
        <v>0</v>
      </c>
      <c r="O45" s="232"/>
      <c r="P45" s="30">
        <f t="shared" si="7"/>
        <v>0</v>
      </c>
      <c r="Q45" s="232"/>
      <c r="R45" s="30">
        <f t="shared" si="8"/>
        <v>0</v>
      </c>
      <c r="S45" s="232"/>
      <c r="T45" s="30">
        <f t="shared" si="9"/>
        <v>0</v>
      </c>
      <c r="U45" s="232"/>
      <c r="V45" s="30">
        <f t="shared" si="10"/>
        <v>0</v>
      </c>
      <c r="W45" s="238"/>
      <c r="X45" s="30">
        <f t="shared" si="11"/>
        <v>0</v>
      </c>
      <c r="Y45" s="37">
        <f t="shared" si="0"/>
        <v>0</v>
      </c>
      <c r="Z45" s="30">
        <f t="shared" si="12"/>
        <v>0</v>
      </c>
      <c r="AA45" s="61">
        <f t="shared" si="1"/>
        <v>0</v>
      </c>
      <c r="AB45" s="61"/>
      <c r="AC45" s="29">
        <f>(Y45+завтрак!Y45+полдник!Y45)/10</f>
        <v>0.62</v>
      </c>
    </row>
    <row r="46" spans="1:29" ht="15">
      <c r="A46" s="33">
        <v>44</v>
      </c>
      <c r="B46" s="31" t="str">
        <f>завтрак!B46</f>
        <v>Соль йодированная</v>
      </c>
      <c r="C46" s="32" t="str">
        <f>завтрак!C46</f>
        <v>кг</v>
      </c>
      <c r="D46" s="46">
        <f>завтрак!D46</f>
        <v>27</v>
      </c>
      <c r="E46" s="232">
        <v>3</v>
      </c>
      <c r="F46" s="30">
        <f t="shared" si="2"/>
        <v>0.08</v>
      </c>
      <c r="G46" s="232">
        <v>3.5</v>
      </c>
      <c r="H46" s="30">
        <f t="shared" si="3"/>
        <v>0.09</v>
      </c>
      <c r="I46" s="232">
        <v>2</v>
      </c>
      <c r="J46" s="30">
        <f t="shared" si="4"/>
        <v>0.05</v>
      </c>
      <c r="K46" s="232">
        <v>2</v>
      </c>
      <c r="L46" s="30">
        <f t="shared" si="5"/>
        <v>0.05</v>
      </c>
      <c r="M46" s="238">
        <v>1</v>
      </c>
      <c r="N46" s="30">
        <f t="shared" si="6"/>
        <v>0.03</v>
      </c>
      <c r="O46" s="232">
        <v>2</v>
      </c>
      <c r="P46" s="30">
        <f t="shared" si="7"/>
        <v>0.05</v>
      </c>
      <c r="Q46" s="232">
        <v>2</v>
      </c>
      <c r="R46" s="30">
        <f t="shared" si="8"/>
        <v>0.05</v>
      </c>
      <c r="S46" s="232">
        <v>2.5</v>
      </c>
      <c r="T46" s="30">
        <f t="shared" si="9"/>
        <v>0.07</v>
      </c>
      <c r="U46" s="232">
        <v>2.5</v>
      </c>
      <c r="V46" s="30">
        <f t="shared" si="10"/>
        <v>0.07</v>
      </c>
      <c r="W46" s="238">
        <v>1.5</v>
      </c>
      <c r="X46" s="30">
        <f t="shared" si="11"/>
        <v>0.04</v>
      </c>
      <c r="Y46" s="37">
        <f t="shared" si="0"/>
        <v>22</v>
      </c>
      <c r="Z46" s="30">
        <f t="shared" si="12"/>
        <v>0.59</v>
      </c>
      <c r="AA46" s="61">
        <f t="shared" si="1"/>
        <v>110</v>
      </c>
      <c r="AB46" s="61"/>
      <c r="AC46" s="29">
        <f>(Y46+завтрак!Y46+полдник!Y46)/10</f>
        <v>2.64</v>
      </c>
    </row>
    <row r="47" spans="1:29" ht="15">
      <c r="A47" s="33">
        <v>45</v>
      </c>
      <c r="B47" s="31">
        <f>завтрак!B47</f>
        <v>0</v>
      </c>
      <c r="C47" s="32">
        <f>завтрак!C47</f>
        <v>0</v>
      </c>
      <c r="D47" s="46">
        <f>завтрак!D47</f>
        <v>0</v>
      </c>
      <c r="E47" s="232"/>
      <c r="F47" s="30">
        <f t="shared" si="2"/>
        <v>0</v>
      </c>
      <c r="G47" s="232"/>
      <c r="H47" s="30">
        <f t="shared" si="3"/>
        <v>0</v>
      </c>
      <c r="I47" s="232"/>
      <c r="J47" s="30">
        <f t="shared" si="4"/>
        <v>0</v>
      </c>
      <c r="K47" s="232"/>
      <c r="L47" s="30">
        <f t="shared" si="5"/>
        <v>0</v>
      </c>
      <c r="M47" s="238"/>
      <c r="N47" s="30">
        <f t="shared" si="6"/>
        <v>0</v>
      </c>
      <c r="O47" s="232"/>
      <c r="P47" s="30">
        <f t="shared" si="7"/>
        <v>0</v>
      </c>
      <c r="Q47" s="232"/>
      <c r="R47" s="30">
        <f t="shared" si="8"/>
        <v>0</v>
      </c>
      <c r="S47" s="232"/>
      <c r="T47" s="30">
        <f t="shared" si="9"/>
        <v>0</v>
      </c>
      <c r="U47" s="232"/>
      <c r="V47" s="30">
        <f t="shared" si="10"/>
        <v>0</v>
      </c>
      <c r="W47" s="238"/>
      <c r="X47" s="30">
        <f t="shared" si="11"/>
        <v>0</v>
      </c>
      <c r="Y47" s="37">
        <f t="shared" si="0"/>
        <v>0</v>
      </c>
      <c r="Z47" s="30">
        <f t="shared" si="12"/>
        <v>0</v>
      </c>
      <c r="AA47" s="61">
        <f t="shared" si="1"/>
        <v>0</v>
      </c>
      <c r="AB47" s="61"/>
      <c r="AC47" s="29">
        <f>(Y47+завтрак!Y47+полдник!Y47)/10</f>
        <v>0</v>
      </c>
    </row>
    <row r="48" spans="1:29" ht="15">
      <c r="A48" s="33">
        <v>46</v>
      </c>
      <c r="B48" s="31" t="str">
        <f>завтрак!B48</f>
        <v>Кофейный напиток (ячменный)</v>
      </c>
      <c r="C48" s="32" t="str">
        <f>завтрак!C48</f>
        <v>кг</v>
      </c>
      <c r="D48" s="46">
        <f>завтрак!D48</f>
        <v>467</v>
      </c>
      <c r="E48" s="232"/>
      <c r="F48" s="30">
        <f t="shared" si="2"/>
        <v>0</v>
      </c>
      <c r="G48" s="232"/>
      <c r="H48" s="30">
        <f t="shared" si="3"/>
        <v>0</v>
      </c>
      <c r="I48" s="232"/>
      <c r="J48" s="30">
        <f t="shared" si="4"/>
        <v>0</v>
      </c>
      <c r="K48" s="232"/>
      <c r="L48" s="30">
        <f t="shared" si="5"/>
        <v>0</v>
      </c>
      <c r="M48" s="238"/>
      <c r="N48" s="30">
        <f t="shared" si="6"/>
        <v>0</v>
      </c>
      <c r="O48" s="232"/>
      <c r="P48" s="30">
        <f t="shared" si="7"/>
        <v>0</v>
      </c>
      <c r="Q48" s="232"/>
      <c r="R48" s="30">
        <f t="shared" si="8"/>
        <v>0</v>
      </c>
      <c r="S48" s="232"/>
      <c r="T48" s="30">
        <f t="shared" si="9"/>
        <v>0</v>
      </c>
      <c r="U48" s="232"/>
      <c r="V48" s="30">
        <f t="shared" si="10"/>
        <v>0</v>
      </c>
      <c r="W48" s="238"/>
      <c r="X48" s="30">
        <f t="shared" si="11"/>
        <v>0</v>
      </c>
      <c r="Y48" s="37">
        <f t="shared" si="0"/>
        <v>0</v>
      </c>
      <c r="Z48" s="30">
        <f t="shared" si="12"/>
        <v>0</v>
      </c>
      <c r="AA48" s="61">
        <f t="shared" si="1"/>
        <v>0</v>
      </c>
      <c r="AB48" s="61"/>
      <c r="AC48" s="29">
        <f>(Y48+завтрак!Y48+полдник!Y48)/10</f>
        <v>0</v>
      </c>
    </row>
    <row r="49" spans="1:29" ht="15">
      <c r="A49" s="33">
        <v>47</v>
      </c>
      <c r="B49" s="31" t="str">
        <f>завтрак!B49</f>
        <v>Какао порошок</v>
      </c>
      <c r="C49" s="32" t="str">
        <f>завтрак!C49</f>
        <v>кг</v>
      </c>
      <c r="D49" s="46">
        <f>завтрак!D49</f>
        <v>403</v>
      </c>
      <c r="E49" s="232"/>
      <c r="F49" s="30">
        <f t="shared" si="2"/>
        <v>0</v>
      </c>
      <c r="G49" s="232"/>
      <c r="H49" s="30">
        <f t="shared" si="3"/>
        <v>0</v>
      </c>
      <c r="I49" s="232"/>
      <c r="J49" s="30">
        <f t="shared" si="4"/>
        <v>0</v>
      </c>
      <c r="K49" s="232"/>
      <c r="L49" s="30">
        <f t="shared" si="5"/>
        <v>0</v>
      </c>
      <c r="M49" s="238"/>
      <c r="N49" s="30">
        <f t="shared" si="6"/>
        <v>0</v>
      </c>
      <c r="O49" s="232"/>
      <c r="P49" s="30">
        <f t="shared" si="7"/>
        <v>0</v>
      </c>
      <c r="Q49" s="232"/>
      <c r="R49" s="30">
        <f t="shared" si="8"/>
        <v>0</v>
      </c>
      <c r="S49" s="232"/>
      <c r="T49" s="30">
        <f t="shared" si="9"/>
        <v>0</v>
      </c>
      <c r="U49" s="232"/>
      <c r="V49" s="30">
        <f t="shared" si="10"/>
        <v>0</v>
      </c>
      <c r="W49" s="238"/>
      <c r="X49" s="30">
        <f t="shared" si="11"/>
        <v>0</v>
      </c>
      <c r="Y49" s="37">
        <f t="shared" si="0"/>
        <v>0</v>
      </c>
      <c r="Z49" s="30">
        <f t="shared" si="12"/>
        <v>0</v>
      </c>
      <c r="AA49" s="61">
        <f t="shared" si="1"/>
        <v>0</v>
      </c>
      <c r="AB49" s="61"/>
      <c r="AC49" s="29">
        <f>(Y49+завтрак!Y49+полдник!Y49)/10</f>
        <v>0</v>
      </c>
    </row>
    <row r="50" spans="1:29" ht="15">
      <c r="A50" s="33">
        <v>48</v>
      </c>
      <c r="B50" s="31" t="str">
        <f>завтрак!B50</f>
        <v>Чай черный (1 сорт)</v>
      </c>
      <c r="C50" s="32" t="str">
        <f>завтрак!C50</f>
        <v>кг</v>
      </c>
      <c r="D50" s="46">
        <f>завтрак!D50</f>
        <v>507</v>
      </c>
      <c r="E50" s="232"/>
      <c r="F50" s="30">
        <f t="shared" si="2"/>
        <v>0</v>
      </c>
      <c r="G50" s="232">
        <v>1</v>
      </c>
      <c r="H50" s="30">
        <f t="shared" si="3"/>
        <v>0.51</v>
      </c>
      <c r="I50" s="232"/>
      <c r="J50" s="30">
        <f t="shared" si="4"/>
        <v>0</v>
      </c>
      <c r="K50" s="232">
        <v>1</v>
      </c>
      <c r="L50" s="30">
        <f t="shared" si="5"/>
        <v>0.51</v>
      </c>
      <c r="M50" s="238"/>
      <c r="N50" s="30">
        <f t="shared" si="6"/>
        <v>0</v>
      </c>
      <c r="O50" s="232"/>
      <c r="P50" s="30">
        <f t="shared" si="7"/>
        <v>0</v>
      </c>
      <c r="Q50" s="232"/>
      <c r="R50" s="30">
        <f t="shared" si="8"/>
        <v>0</v>
      </c>
      <c r="S50" s="232"/>
      <c r="T50" s="30">
        <f t="shared" si="9"/>
        <v>0</v>
      </c>
      <c r="U50" s="232"/>
      <c r="V50" s="30">
        <f t="shared" si="10"/>
        <v>0</v>
      </c>
      <c r="W50" s="238"/>
      <c r="X50" s="30">
        <f t="shared" si="11"/>
        <v>0</v>
      </c>
      <c r="Y50" s="37">
        <f t="shared" si="0"/>
        <v>2</v>
      </c>
      <c r="Z50" s="30">
        <f t="shared" si="12"/>
        <v>1.01</v>
      </c>
      <c r="AA50" s="61">
        <f t="shared" si="1"/>
        <v>10</v>
      </c>
      <c r="AB50" s="61"/>
      <c r="AC50" s="29">
        <f>(Y50+завтрак!Y50+полдник!Y50)/10</f>
        <v>1.1</v>
      </c>
    </row>
    <row r="51" spans="1:29" ht="15">
      <c r="A51" s="33">
        <v>49</v>
      </c>
      <c r="B51" s="31" t="str">
        <f>завтрак!B51</f>
        <v>Лавровый лист</v>
      </c>
      <c r="C51" s="32" t="str">
        <f>завтрак!C51</f>
        <v>кг</v>
      </c>
      <c r="D51" s="46">
        <f>завтрак!D51</f>
        <v>617</v>
      </c>
      <c r="E51" s="232">
        <v>0.02</v>
      </c>
      <c r="F51" s="30">
        <f t="shared" si="2"/>
        <v>0.01</v>
      </c>
      <c r="G51" s="232">
        <v>0.02</v>
      </c>
      <c r="H51" s="30">
        <f t="shared" si="3"/>
        <v>0.01</v>
      </c>
      <c r="I51" s="232">
        <v>0.02</v>
      </c>
      <c r="J51" s="30">
        <f t="shared" si="4"/>
        <v>0.01</v>
      </c>
      <c r="K51" s="232">
        <v>0.02</v>
      </c>
      <c r="L51" s="30">
        <f t="shared" si="5"/>
        <v>0.01</v>
      </c>
      <c r="M51" s="238">
        <v>0.02</v>
      </c>
      <c r="N51" s="30">
        <f t="shared" si="6"/>
        <v>0.01</v>
      </c>
      <c r="O51" s="232">
        <v>0.02</v>
      </c>
      <c r="P51" s="30">
        <f t="shared" si="7"/>
        <v>0.01</v>
      </c>
      <c r="Q51" s="232">
        <v>0.02</v>
      </c>
      <c r="R51" s="30">
        <f t="shared" si="8"/>
        <v>0.01</v>
      </c>
      <c r="S51" s="232">
        <v>0.02</v>
      </c>
      <c r="T51" s="30">
        <f t="shared" si="9"/>
        <v>0.01</v>
      </c>
      <c r="U51" s="232">
        <v>0.02</v>
      </c>
      <c r="V51" s="30">
        <f t="shared" si="10"/>
        <v>0.01</v>
      </c>
      <c r="W51" s="238">
        <v>0.02</v>
      </c>
      <c r="X51" s="30">
        <f t="shared" si="11"/>
        <v>0.01</v>
      </c>
      <c r="Y51" s="37">
        <f t="shared" si="0"/>
        <v>0.2</v>
      </c>
      <c r="Z51" s="30">
        <f t="shared" si="12"/>
        <v>0.12</v>
      </c>
      <c r="AA51" s="61">
        <f t="shared" si="1"/>
        <v>1</v>
      </c>
      <c r="AB51" s="61"/>
      <c r="AC51" s="29">
        <f>(Y51+завтрак!Y51+полдник!Y51)/10</f>
        <v>0.02</v>
      </c>
    </row>
    <row r="52" spans="1:29" ht="15">
      <c r="A52" s="33">
        <v>50</v>
      </c>
      <c r="B52" s="31" t="str">
        <f>завтрак!B52</f>
        <v>Хлеб пшеничный</v>
      </c>
      <c r="C52" s="32" t="str">
        <f>завтрак!C52</f>
        <v>кг</v>
      </c>
      <c r="D52" s="46">
        <f>завтрак!D52</f>
        <v>48</v>
      </c>
      <c r="E52" s="232">
        <v>40</v>
      </c>
      <c r="F52" s="30">
        <f t="shared" si="2"/>
        <v>1.92</v>
      </c>
      <c r="G52" s="232">
        <v>50</v>
      </c>
      <c r="H52" s="30">
        <f t="shared" si="3"/>
        <v>2.4</v>
      </c>
      <c r="I52" s="232">
        <v>50</v>
      </c>
      <c r="J52" s="30">
        <f t="shared" si="4"/>
        <v>2.4</v>
      </c>
      <c r="K52" s="232">
        <v>50</v>
      </c>
      <c r="L52" s="30">
        <f t="shared" si="5"/>
        <v>2.4</v>
      </c>
      <c r="M52" s="238">
        <f>9+9+50</f>
        <v>68</v>
      </c>
      <c r="N52" s="30">
        <f t="shared" si="6"/>
        <v>3.26</v>
      </c>
      <c r="O52" s="232">
        <f>4+40</f>
        <v>44</v>
      </c>
      <c r="P52" s="30">
        <f t="shared" si="7"/>
        <v>2.11</v>
      </c>
      <c r="Q52" s="232">
        <v>55</v>
      </c>
      <c r="R52" s="30">
        <f t="shared" si="8"/>
        <v>2.64</v>
      </c>
      <c r="S52" s="232">
        <v>50</v>
      </c>
      <c r="T52" s="30">
        <f t="shared" si="9"/>
        <v>2.4</v>
      </c>
      <c r="U52" s="232">
        <f>11+11+40</f>
        <v>62</v>
      </c>
      <c r="V52" s="30">
        <f t="shared" si="10"/>
        <v>2.98</v>
      </c>
      <c r="W52" s="238">
        <v>40</v>
      </c>
      <c r="X52" s="30">
        <f t="shared" si="11"/>
        <v>1.92</v>
      </c>
      <c r="Y52" s="37">
        <f t="shared" si="0"/>
        <v>509</v>
      </c>
      <c r="Z52" s="30">
        <f t="shared" si="12"/>
        <v>24.43</v>
      </c>
      <c r="AA52" s="61">
        <f t="shared" si="1"/>
        <v>2545</v>
      </c>
      <c r="AB52" s="61"/>
      <c r="AC52" s="29">
        <f>(Y52+завтрак!Y52+полдник!Y52)/10</f>
        <v>67.9</v>
      </c>
    </row>
    <row r="53" spans="1:29" ht="15">
      <c r="A53" s="33">
        <v>51</v>
      </c>
      <c r="B53" s="31" t="str">
        <f>завтрак!B53</f>
        <v>Пряник 1 сорт</v>
      </c>
      <c r="C53" s="32" t="str">
        <f>завтрак!C53</f>
        <v>кг</v>
      </c>
      <c r="D53" s="46">
        <f>завтрак!D53</f>
        <v>153</v>
      </c>
      <c r="E53" s="232"/>
      <c r="F53" s="30">
        <f t="shared" si="2"/>
        <v>0</v>
      </c>
      <c r="G53" s="232"/>
      <c r="H53" s="30">
        <f t="shared" si="3"/>
        <v>0</v>
      </c>
      <c r="I53" s="232"/>
      <c r="J53" s="30">
        <f t="shared" si="4"/>
        <v>0</v>
      </c>
      <c r="K53" s="232"/>
      <c r="L53" s="30">
        <f t="shared" si="5"/>
        <v>0</v>
      </c>
      <c r="M53" s="238"/>
      <c r="N53" s="30">
        <f t="shared" si="6"/>
        <v>0</v>
      </c>
      <c r="O53" s="232"/>
      <c r="P53" s="30">
        <f t="shared" si="7"/>
        <v>0</v>
      </c>
      <c r="Q53" s="232"/>
      <c r="R53" s="30">
        <f t="shared" si="8"/>
        <v>0</v>
      </c>
      <c r="S53" s="232"/>
      <c r="T53" s="30">
        <f t="shared" si="9"/>
        <v>0</v>
      </c>
      <c r="U53" s="232"/>
      <c r="V53" s="30">
        <f t="shared" si="10"/>
        <v>0</v>
      </c>
      <c r="W53" s="238"/>
      <c r="X53" s="30">
        <f t="shared" si="11"/>
        <v>0</v>
      </c>
      <c r="Y53" s="37">
        <f t="shared" si="0"/>
        <v>0</v>
      </c>
      <c r="Z53" s="30">
        <f t="shared" si="12"/>
        <v>0</v>
      </c>
      <c r="AA53" s="61">
        <f t="shared" si="1"/>
        <v>0</v>
      </c>
      <c r="AB53" s="61"/>
      <c r="AC53" s="29">
        <f>(Y53+завтрак!Y53+полдник!Y53)/10</f>
        <v>0</v>
      </c>
    </row>
    <row r="54" spans="1:29" ht="15">
      <c r="A54" s="33">
        <v>52</v>
      </c>
      <c r="B54" s="31" t="str">
        <f>завтрак!B54</f>
        <v>Фасоль сухая (1 сорт)</v>
      </c>
      <c r="C54" s="32" t="str">
        <f>завтрак!C54</f>
        <v>кг</v>
      </c>
      <c r="D54" s="46">
        <f>завтрак!D54</f>
        <v>185</v>
      </c>
      <c r="E54" s="232"/>
      <c r="F54" s="30">
        <f t="shared" si="2"/>
        <v>0</v>
      </c>
      <c r="G54" s="232"/>
      <c r="H54" s="30">
        <f t="shared" si="3"/>
        <v>0</v>
      </c>
      <c r="I54" s="232"/>
      <c r="J54" s="30">
        <f t="shared" si="4"/>
        <v>0</v>
      </c>
      <c r="K54" s="232"/>
      <c r="L54" s="30">
        <f t="shared" si="5"/>
        <v>0</v>
      </c>
      <c r="M54" s="238"/>
      <c r="N54" s="30">
        <f t="shared" si="6"/>
        <v>0</v>
      </c>
      <c r="O54" s="232"/>
      <c r="P54" s="30">
        <f t="shared" si="7"/>
        <v>0</v>
      </c>
      <c r="Q54" s="232"/>
      <c r="R54" s="30">
        <f t="shared" si="8"/>
        <v>0</v>
      </c>
      <c r="S54" s="232">
        <v>30</v>
      </c>
      <c r="T54" s="30">
        <f t="shared" si="9"/>
        <v>5.55</v>
      </c>
      <c r="U54" s="232"/>
      <c r="V54" s="30">
        <f t="shared" si="10"/>
        <v>0</v>
      </c>
      <c r="W54" s="238"/>
      <c r="X54" s="30">
        <f t="shared" si="11"/>
        <v>0</v>
      </c>
      <c r="Y54" s="37">
        <f t="shared" si="0"/>
        <v>30</v>
      </c>
      <c r="Z54" s="30">
        <f t="shared" si="12"/>
        <v>5.55</v>
      </c>
      <c r="AA54" s="61">
        <f t="shared" si="1"/>
        <v>150</v>
      </c>
      <c r="AB54" s="61"/>
      <c r="AC54" s="29">
        <f>(Y54+завтрак!Y54+полдник!Y54)/10</f>
        <v>3</v>
      </c>
    </row>
    <row r="55" spans="1:29" ht="15">
      <c r="A55" s="33">
        <v>53</v>
      </c>
      <c r="B55" s="31" t="str">
        <f>завтрак!B55</f>
        <v>Лимон свежий (1 сорт)</v>
      </c>
      <c r="C55" s="32" t="str">
        <f>завтрак!C55</f>
        <v>кг</v>
      </c>
      <c r="D55" s="46">
        <f>завтрак!D55</f>
        <v>220</v>
      </c>
      <c r="E55" s="232"/>
      <c r="F55" s="30">
        <f t="shared" si="2"/>
        <v>0</v>
      </c>
      <c r="G55" s="232"/>
      <c r="H55" s="30">
        <f t="shared" si="3"/>
        <v>0</v>
      </c>
      <c r="I55" s="232"/>
      <c r="J55" s="30">
        <f t="shared" si="4"/>
        <v>0</v>
      </c>
      <c r="K55" s="232"/>
      <c r="L55" s="30">
        <f t="shared" si="5"/>
        <v>0</v>
      </c>
      <c r="M55" s="238"/>
      <c r="N55" s="30">
        <f t="shared" si="6"/>
        <v>0</v>
      </c>
      <c r="O55" s="232"/>
      <c r="P55" s="30">
        <f t="shared" si="7"/>
        <v>0</v>
      </c>
      <c r="Q55" s="232"/>
      <c r="R55" s="30">
        <f t="shared" si="8"/>
        <v>0</v>
      </c>
      <c r="S55" s="232"/>
      <c r="T55" s="30">
        <f t="shared" si="9"/>
        <v>0</v>
      </c>
      <c r="U55" s="232"/>
      <c r="V55" s="30">
        <f t="shared" si="10"/>
        <v>0</v>
      </c>
      <c r="W55" s="238"/>
      <c r="X55" s="30">
        <f t="shared" si="11"/>
        <v>0</v>
      </c>
      <c r="Y55" s="37">
        <f t="shared" si="0"/>
        <v>0</v>
      </c>
      <c r="Z55" s="30">
        <f t="shared" si="12"/>
        <v>0</v>
      </c>
      <c r="AA55" s="61">
        <f t="shared" si="1"/>
        <v>0</v>
      </c>
      <c r="AB55" s="61"/>
      <c r="AC55" s="29">
        <f>(Y55+завтрак!Y55+полдник!Y55)/10</f>
        <v>0.8</v>
      </c>
    </row>
    <row r="56" spans="1:28" ht="15.75">
      <c r="A56" s="34"/>
      <c r="B56" s="35" t="s">
        <v>52</v>
      </c>
      <c r="C56" s="32"/>
      <c r="D56" s="30"/>
      <c r="E56" s="232"/>
      <c r="F56" s="65">
        <f>SUM(F3:F55)</f>
        <v>51.08</v>
      </c>
      <c r="G56" s="232"/>
      <c r="H56" s="65">
        <f>SUM(H3:H55)</f>
        <v>51.08</v>
      </c>
      <c r="I56" s="232"/>
      <c r="J56" s="65">
        <f>SUM(J3:J55)</f>
        <v>51.08</v>
      </c>
      <c r="K56" s="232"/>
      <c r="L56" s="65">
        <f>SUM(L3:L55)</f>
        <v>51.08</v>
      </c>
      <c r="M56" s="238"/>
      <c r="N56" s="65">
        <f>SUM(N3:N55)</f>
        <v>51.08</v>
      </c>
      <c r="O56" s="232"/>
      <c r="P56" s="65">
        <f>SUM(P3:P55)</f>
        <v>51.08</v>
      </c>
      <c r="Q56" s="232"/>
      <c r="R56" s="65">
        <f>SUM(R3:R55)</f>
        <v>51.08</v>
      </c>
      <c r="S56" s="232"/>
      <c r="T56" s="65">
        <f>SUM(T3:T55)</f>
        <v>51.08</v>
      </c>
      <c r="U56" s="232"/>
      <c r="V56" s="65">
        <f>SUM(V3:V55)</f>
        <v>51.08</v>
      </c>
      <c r="W56" s="238"/>
      <c r="X56" s="65">
        <f>SUM(X3:X55)</f>
        <v>51.08</v>
      </c>
      <c r="Y56" s="37">
        <f t="shared" si="0"/>
        <v>0</v>
      </c>
      <c r="Z56" s="30">
        <f>Y56*D56/1000</f>
        <v>0</v>
      </c>
      <c r="AA56" s="61"/>
      <c r="AB56" s="61"/>
    </row>
    <row r="57" spans="1:28" ht="12.75">
      <c r="A57" s="30"/>
      <c r="B57" s="30"/>
      <c r="C57" s="30"/>
      <c r="D57" s="30"/>
      <c r="E57" s="232"/>
      <c r="F57" s="30"/>
      <c r="G57" s="232"/>
      <c r="H57" s="30"/>
      <c r="I57" s="232"/>
      <c r="J57" s="30"/>
      <c r="K57" s="232"/>
      <c r="L57" s="30"/>
      <c r="M57" s="238"/>
      <c r="N57" s="30"/>
      <c r="O57" s="232"/>
      <c r="P57" s="30"/>
      <c r="Q57" s="232"/>
      <c r="R57" s="30"/>
      <c r="S57" s="232"/>
      <c r="T57" s="30"/>
      <c r="U57" s="232"/>
      <c r="V57" s="30"/>
      <c r="W57" s="238"/>
      <c r="X57" s="30"/>
      <c r="Y57" s="37"/>
      <c r="Z57" s="30">
        <f>SUM(Z3:Z56)</f>
        <v>510.77</v>
      </c>
      <c r="AA57" s="61"/>
      <c r="AB57" s="61"/>
    </row>
    <row r="58" spans="27:28" ht="12.75">
      <c r="AA58" s="44"/>
      <c r="AB58" s="44"/>
    </row>
    <row r="59" spans="27:28" ht="12.75">
      <c r="AA59" s="44"/>
      <c r="AB59" s="44"/>
    </row>
    <row r="60" spans="27:28" ht="12.75">
      <c r="AA60" s="44"/>
      <c r="AB60" s="44"/>
    </row>
    <row r="61" spans="27:28" ht="12.75">
      <c r="AA61" s="44"/>
      <c r="AB61" s="44"/>
    </row>
    <row r="62" spans="27:28" ht="12.75">
      <c r="AA62" s="44"/>
      <c r="AB62" s="44"/>
    </row>
    <row r="63" spans="27:28" ht="12.75">
      <c r="AA63" s="44"/>
      <c r="AB63" s="44"/>
    </row>
    <row r="64" spans="27:28" ht="12.75">
      <c r="AA64" s="44"/>
      <c r="AB64" s="44"/>
    </row>
    <row r="65" spans="27:28" ht="12.75">
      <c r="AA65" s="44"/>
      <c r="AB65" s="44"/>
    </row>
    <row r="66" spans="27:28" ht="12.75">
      <c r="AA66" s="44"/>
      <c r="AB66" s="44"/>
    </row>
    <row r="67" spans="27:28" ht="12.75">
      <c r="AA67" s="44"/>
      <c r="AB67" s="44"/>
    </row>
    <row r="68" spans="27:28" ht="12.75">
      <c r="AA68" s="44"/>
      <c r="AB68" s="44"/>
    </row>
    <row r="69" spans="27:28" ht="12.75">
      <c r="AA69" s="44"/>
      <c r="AB69" s="44"/>
    </row>
    <row r="70" spans="27:28" ht="12.75">
      <c r="AA70" s="44"/>
      <c r="AB70" s="44"/>
    </row>
    <row r="71" spans="27:28" ht="12.75">
      <c r="AA71" s="44"/>
      <c r="AB71" s="44"/>
    </row>
    <row r="72" spans="27:28" ht="12.75">
      <c r="AA72" s="44"/>
      <c r="AB72" s="44"/>
    </row>
    <row r="79" ht="12.75">
      <c r="B79" s="4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625" style="0" bestFit="1" customWidth="1"/>
    <col min="2" max="2" width="29.875" style="0" customWidth="1"/>
    <col min="3" max="3" width="4.75390625" style="0" bestFit="1" customWidth="1"/>
    <col min="5" max="5" width="9.125" style="234" customWidth="1"/>
    <col min="6" max="6" width="9.125" style="0" customWidth="1"/>
    <col min="7" max="7" width="9.125" style="234" customWidth="1"/>
    <col min="8" max="8" width="9.125" style="0" customWidth="1"/>
    <col min="9" max="9" width="9.125" style="234" customWidth="1"/>
    <col min="10" max="10" width="9.125" style="0" customWidth="1"/>
    <col min="11" max="11" width="9.125" style="234" customWidth="1"/>
    <col min="12" max="12" width="9.125" style="0" customWidth="1"/>
    <col min="13" max="13" width="9.125" style="234" customWidth="1"/>
    <col min="14" max="14" width="9.125" style="0" customWidth="1"/>
    <col min="15" max="15" width="9.125" style="234" customWidth="1"/>
    <col min="16" max="16" width="9.125" style="0" customWidth="1"/>
    <col min="17" max="17" width="9.125" style="234" customWidth="1"/>
    <col min="18" max="18" width="9.125" style="0" customWidth="1"/>
    <col min="19" max="19" width="9.125" style="234" customWidth="1"/>
    <col min="20" max="20" width="9.125" style="0" customWidth="1"/>
    <col min="21" max="21" width="9.125" style="234" customWidth="1"/>
    <col min="22" max="22" width="9.125" style="0" customWidth="1"/>
    <col min="23" max="23" width="9.125" style="234" customWidth="1"/>
    <col min="28" max="28" width="11.75390625" style="0" customWidth="1"/>
  </cols>
  <sheetData>
    <row r="1" spans="2:7" ht="12.75">
      <c r="B1" s="92" t="s">
        <v>99</v>
      </c>
      <c r="G1" s="236"/>
    </row>
    <row r="2" spans="1:27" ht="25.5">
      <c r="A2" s="36" t="s">
        <v>3</v>
      </c>
      <c r="B2" s="36" t="s">
        <v>53</v>
      </c>
      <c r="C2" s="36" t="s">
        <v>152</v>
      </c>
      <c r="D2" s="36" t="s">
        <v>54</v>
      </c>
      <c r="E2" s="230">
        <v>1</v>
      </c>
      <c r="F2" s="36" t="s">
        <v>55</v>
      </c>
      <c r="G2" s="230">
        <v>2</v>
      </c>
      <c r="H2" s="36" t="s">
        <v>55</v>
      </c>
      <c r="I2" s="230">
        <v>3</v>
      </c>
      <c r="J2" s="36" t="s">
        <v>55</v>
      </c>
      <c r="K2" s="230">
        <v>4</v>
      </c>
      <c r="L2" s="36" t="s">
        <v>55</v>
      </c>
      <c r="M2" s="237">
        <v>5</v>
      </c>
      <c r="N2" s="36" t="s">
        <v>55</v>
      </c>
      <c r="O2" s="230">
        <v>1</v>
      </c>
      <c r="P2" s="36" t="s">
        <v>55</v>
      </c>
      <c r="Q2" s="230">
        <v>2</v>
      </c>
      <c r="R2" s="36" t="s">
        <v>55</v>
      </c>
      <c r="S2" s="230">
        <v>3</v>
      </c>
      <c r="T2" s="36" t="s">
        <v>55</v>
      </c>
      <c r="U2" s="230">
        <v>4</v>
      </c>
      <c r="V2" s="36" t="s">
        <v>55</v>
      </c>
      <c r="W2" s="237">
        <v>5</v>
      </c>
      <c r="X2" s="36" t="s">
        <v>55</v>
      </c>
      <c r="Y2" s="36" t="s">
        <v>56</v>
      </c>
      <c r="Z2" s="36" t="s">
        <v>55</v>
      </c>
      <c r="AA2" s="60"/>
    </row>
    <row r="3" spans="1:27" ht="15">
      <c r="A3" s="33">
        <v>1</v>
      </c>
      <c r="B3" s="31" t="str">
        <f>завтрак!B3</f>
        <v>Яйцо (1 сорт)</v>
      </c>
      <c r="C3" s="32" t="str">
        <f>завтрак!C3</f>
        <v>шт</v>
      </c>
      <c r="D3" s="46">
        <f>завтрак!D3</f>
        <v>13.5</v>
      </c>
      <c r="E3" s="232">
        <v>0.16</v>
      </c>
      <c r="F3" s="30">
        <f>E3*D3</f>
        <v>2.16</v>
      </c>
      <c r="G3" s="232">
        <v>0.2</v>
      </c>
      <c r="H3" s="30">
        <f>G3*D3</f>
        <v>2.7</v>
      </c>
      <c r="I3" s="232">
        <v>0.2</v>
      </c>
      <c r="J3" s="30">
        <f>I3*D3</f>
        <v>2.7</v>
      </c>
      <c r="K3" s="232">
        <v>0.17</v>
      </c>
      <c r="L3" s="30">
        <f>K3*D3</f>
        <v>2.3</v>
      </c>
      <c r="M3" s="238">
        <v>0.1</v>
      </c>
      <c r="N3" s="30">
        <f>D3*M3</f>
        <v>1.35</v>
      </c>
      <c r="O3" s="232">
        <v>0.16</v>
      </c>
      <c r="P3" s="30">
        <f>O3*D3</f>
        <v>2.16</v>
      </c>
      <c r="Q3" s="232">
        <v>0.2</v>
      </c>
      <c r="R3" s="30">
        <f>Q3*D3</f>
        <v>2.7</v>
      </c>
      <c r="S3" s="232">
        <v>0.2</v>
      </c>
      <c r="T3" s="30">
        <f>D3*S3</f>
        <v>2.7</v>
      </c>
      <c r="U3" s="232">
        <v>0.17</v>
      </c>
      <c r="V3" s="30">
        <f>D3*U3</f>
        <v>2.3</v>
      </c>
      <c r="W3" s="238">
        <v>0.11</v>
      </c>
      <c r="X3" s="30">
        <f>D3*W3</f>
        <v>1.49</v>
      </c>
      <c r="Y3" s="37">
        <f>(E3+G3+I3+K3+M3+O3+Q3+S3+U3+W3)</f>
        <v>1.67</v>
      </c>
      <c r="Z3" s="30">
        <f>Y3*D3</f>
        <v>22.55</v>
      </c>
      <c r="AA3" s="61">
        <f>Y3*5</f>
        <v>8.35</v>
      </c>
    </row>
    <row r="4" spans="1:27" ht="30">
      <c r="A4" s="33">
        <v>2</v>
      </c>
      <c r="B4" s="31" t="str">
        <f>завтрак!B4</f>
        <v>Мясо говядины без кости (1 категории)</v>
      </c>
      <c r="C4" s="32" t="str">
        <f>завтрак!C4</f>
        <v>кг</v>
      </c>
      <c r="D4" s="46">
        <f>завтрак!D4</f>
        <v>622</v>
      </c>
      <c r="E4" s="232"/>
      <c r="F4" s="30">
        <f>D4*E4/1000</f>
        <v>0</v>
      </c>
      <c r="G4" s="232"/>
      <c r="H4" s="30">
        <f>G4*D4/1000</f>
        <v>0</v>
      </c>
      <c r="I4" s="232"/>
      <c r="J4" s="30">
        <f>I4*D4/1000</f>
        <v>0</v>
      </c>
      <c r="K4" s="232"/>
      <c r="L4" s="30">
        <f>K4*D4/1000</f>
        <v>0</v>
      </c>
      <c r="M4" s="238"/>
      <c r="N4" s="30">
        <f>D4*M4/1000</f>
        <v>0</v>
      </c>
      <c r="O4" s="232"/>
      <c r="P4" s="30">
        <f>O4*D4/1000</f>
        <v>0</v>
      </c>
      <c r="Q4" s="232"/>
      <c r="R4" s="30">
        <f>D4*Q4/1000</f>
        <v>0</v>
      </c>
      <c r="S4" s="232"/>
      <c r="T4" s="30">
        <f>D4*S4/1000</f>
        <v>0</v>
      </c>
      <c r="U4" s="232"/>
      <c r="V4" s="30">
        <f>D4*U4/1000</f>
        <v>0</v>
      </c>
      <c r="W4" s="238"/>
      <c r="X4" s="30">
        <f>D4*W4/1000</f>
        <v>0</v>
      </c>
      <c r="Y4" s="37">
        <f aca="true" t="shared" si="0" ref="Y4:Y55">(E4+G4+I4+K4+M4+O4+Q4+S4+U4+W4)</f>
        <v>0</v>
      </c>
      <c r="Z4" s="30">
        <f>Y4*D4/1000</f>
        <v>0</v>
      </c>
      <c r="AA4" s="61">
        <f aca="true" t="shared" si="1" ref="AA4:AA55">Y4*5</f>
        <v>0</v>
      </c>
    </row>
    <row r="5" spans="1:27" ht="15">
      <c r="A5" s="33">
        <v>3</v>
      </c>
      <c r="B5" s="31" t="str">
        <f>завтрак!B5</f>
        <v>Мясо птицы (1 категории)</v>
      </c>
      <c r="C5" s="32" t="str">
        <f>завтрак!C5</f>
        <v>кг</v>
      </c>
      <c r="D5" s="46">
        <f>завтрак!D5</f>
        <v>292</v>
      </c>
      <c r="E5" s="232"/>
      <c r="F5" s="30">
        <f aca="true" t="shared" si="2" ref="F5:F55">D5*E5/1000</f>
        <v>0</v>
      </c>
      <c r="G5" s="232"/>
      <c r="H5" s="30">
        <f aca="true" t="shared" si="3" ref="H5:H55">G5*D5/1000</f>
        <v>0</v>
      </c>
      <c r="I5" s="232"/>
      <c r="J5" s="30">
        <f aca="true" t="shared" si="4" ref="J5:J55">I5*D5/1000</f>
        <v>0</v>
      </c>
      <c r="K5" s="232"/>
      <c r="L5" s="30">
        <f aca="true" t="shared" si="5" ref="L5:L55">K5*D5/1000</f>
        <v>0</v>
      </c>
      <c r="M5" s="238"/>
      <c r="N5" s="30">
        <f aca="true" t="shared" si="6" ref="N5:N55">D5*M5/1000</f>
        <v>0</v>
      </c>
      <c r="O5" s="232"/>
      <c r="P5" s="30">
        <f aca="true" t="shared" si="7" ref="P5:P55">O5*D5/1000</f>
        <v>0</v>
      </c>
      <c r="Q5" s="232"/>
      <c r="R5" s="30">
        <f aca="true" t="shared" si="8" ref="R5:R55">D5*Q5/1000</f>
        <v>0</v>
      </c>
      <c r="S5" s="232"/>
      <c r="T5" s="30">
        <f aca="true" t="shared" si="9" ref="T5:T55">D5*S5/1000</f>
        <v>0</v>
      </c>
      <c r="U5" s="232"/>
      <c r="V5" s="30">
        <f aca="true" t="shared" si="10" ref="V5:V55">D5*U5/1000</f>
        <v>0</v>
      </c>
      <c r="W5" s="238"/>
      <c r="X5" s="30">
        <f aca="true" t="shared" si="11" ref="X5:X55">D5*W5/1000</f>
        <v>0</v>
      </c>
      <c r="Y5" s="37">
        <f t="shared" si="0"/>
        <v>0</v>
      </c>
      <c r="Z5" s="30">
        <f aca="true" t="shared" si="12" ref="Z5:Z56">Y5*D5/1000</f>
        <v>0</v>
      </c>
      <c r="AA5" s="61">
        <f t="shared" si="1"/>
        <v>0</v>
      </c>
    </row>
    <row r="6" spans="1:27" ht="15">
      <c r="A6" s="33">
        <v>4</v>
      </c>
      <c r="B6" s="31">
        <f>завтрак!B6</f>
        <v>0</v>
      </c>
      <c r="C6" s="32">
        <f>завтрак!C6</f>
        <v>0</v>
      </c>
      <c r="D6" s="46">
        <f>завтрак!D6</f>
        <v>0</v>
      </c>
      <c r="E6" s="232"/>
      <c r="F6" s="30">
        <f t="shared" si="2"/>
        <v>0</v>
      </c>
      <c r="G6" s="232"/>
      <c r="H6" s="30">
        <f t="shared" si="3"/>
        <v>0</v>
      </c>
      <c r="I6" s="232"/>
      <c r="J6" s="30">
        <f t="shared" si="4"/>
        <v>0</v>
      </c>
      <c r="K6" s="232"/>
      <c r="L6" s="30">
        <f t="shared" si="5"/>
        <v>0</v>
      </c>
      <c r="M6" s="238"/>
      <c r="N6" s="30">
        <f t="shared" si="6"/>
        <v>0</v>
      </c>
      <c r="O6" s="232"/>
      <c r="P6" s="30">
        <f t="shared" si="7"/>
        <v>0</v>
      </c>
      <c r="Q6" s="232"/>
      <c r="R6" s="30">
        <f t="shared" si="8"/>
        <v>0</v>
      </c>
      <c r="S6" s="232"/>
      <c r="T6" s="30">
        <f t="shared" si="9"/>
        <v>0</v>
      </c>
      <c r="U6" s="232"/>
      <c r="V6" s="30">
        <f t="shared" si="10"/>
        <v>0</v>
      </c>
      <c r="W6" s="238"/>
      <c r="X6" s="30">
        <f t="shared" si="11"/>
        <v>0</v>
      </c>
      <c r="Y6" s="37">
        <f t="shared" si="0"/>
        <v>0</v>
      </c>
      <c r="Z6" s="30">
        <f t="shared" si="12"/>
        <v>0</v>
      </c>
      <c r="AA6" s="61">
        <f t="shared" si="1"/>
        <v>0</v>
      </c>
    </row>
    <row r="7" spans="1:27" ht="15">
      <c r="A7" s="33">
        <v>5</v>
      </c>
      <c r="B7" s="31">
        <f>завтрак!B7</f>
        <v>0</v>
      </c>
      <c r="C7" s="32">
        <f>завтрак!C7</f>
        <v>0</v>
      </c>
      <c r="D7" s="46">
        <f>завтрак!D7</f>
        <v>0</v>
      </c>
      <c r="E7" s="232"/>
      <c r="F7" s="30">
        <f t="shared" si="2"/>
        <v>0</v>
      </c>
      <c r="G7" s="232"/>
      <c r="H7" s="30">
        <f t="shared" si="3"/>
        <v>0</v>
      </c>
      <c r="I7" s="232"/>
      <c r="J7" s="30">
        <f t="shared" si="4"/>
        <v>0</v>
      </c>
      <c r="K7" s="232"/>
      <c r="L7" s="30">
        <f t="shared" si="5"/>
        <v>0</v>
      </c>
      <c r="M7" s="238"/>
      <c r="N7" s="30">
        <f t="shared" si="6"/>
        <v>0</v>
      </c>
      <c r="O7" s="232"/>
      <c r="P7" s="30">
        <f t="shared" si="7"/>
        <v>0</v>
      </c>
      <c r="Q7" s="232"/>
      <c r="R7" s="30">
        <f t="shared" si="8"/>
        <v>0</v>
      </c>
      <c r="S7" s="232"/>
      <c r="T7" s="30">
        <f t="shared" si="9"/>
        <v>0</v>
      </c>
      <c r="U7" s="232"/>
      <c r="V7" s="30">
        <f t="shared" si="10"/>
        <v>0</v>
      </c>
      <c r="W7" s="238"/>
      <c r="X7" s="30">
        <f t="shared" si="11"/>
        <v>0</v>
      </c>
      <c r="Y7" s="37">
        <f t="shared" si="0"/>
        <v>0</v>
      </c>
      <c r="Z7" s="30">
        <f t="shared" si="12"/>
        <v>0</v>
      </c>
      <c r="AA7" s="61">
        <f t="shared" si="1"/>
        <v>0</v>
      </c>
    </row>
    <row r="8" spans="1:27" ht="15.75" customHeight="1">
      <c r="A8" s="33">
        <v>6</v>
      </c>
      <c r="B8" s="31" t="str">
        <f>завтрак!B8</f>
        <v>Молоко пастеризованное (2,5%)</v>
      </c>
      <c r="C8" s="32" t="str">
        <f>завтрак!C8</f>
        <v>л</v>
      </c>
      <c r="D8" s="46">
        <f>завтрак!D8</f>
        <v>72</v>
      </c>
      <c r="E8" s="232"/>
      <c r="F8" s="30">
        <f t="shared" si="2"/>
        <v>0</v>
      </c>
      <c r="G8" s="232">
        <v>7</v>
      </c>
      <c r="H8" s="30">
        <f t="shared" si="3"/>
        <v>0.5</v>
      </c>
      <c r="I8" s="232"/>
      <c r="J8" s="30">
        <f t="shared" si="4"/>
        <v>0</v>
      </c>
      <c r="K8" s="232"/>
      <c r="L8" s="30">
        <f t="shared" si="5"/>
        <v>0</v>
      </c>
      <c r="M8" s="238">
        <v>15</v>
      </c>
      <c r="N8" s="30">
        <f t="shared" si="6"/>
        <v>1.08</v>
      </c>
      <c r="O8" s="232"/>
      <c r="P8" s="30">
        <f t="shared" si="7"/>
        <v>0</v>
      </c>
      <c r="Q8" s="232"/>
      <c r="R8" s="30">
        <f t="shared" si="8"/>
        <v>0</v>
      </c>
      <c r="S8" s="232"/>
      <c r="T8" s="30">
        <f t="shared" si="9"/>
        <v>0</v>
      </c>
      <c r="U8" s="232"/>
      <c r="V8" s="30">
        <f t="shared" si="10"/>
        <v>0</v>
      </c>
      <c r="W8" s="238">
        <v>47</v>
      </c>
      <c r="X8" s="30">
        <f t="shared" si="11"/>
        <v>3.38</v>
      </c>
      <c r="Y8" s="37">
        <f t="shared" si="0"/>
        <v>69</v>
      </c>
      <c r="Z8" s="30">
        <f t="shared" si="12"/>
        <v>4.97</v>
      </c>
      <c r="AA8" s="61">
        <f t="shared" si="1"/>
        <v>345</v>
      </c>
    </row>
    <row r="9" spans="1:27" ht="15">
      <c r="A9" s="33">
        <v>7</v>
      </c>
      <c r="B9" s="31" t="str">
        <f>завтрак!B9</f>
        <v>Масло сливочное (72,5%)</v>
      </c>
      <c r="C9" s="32" t="str">
        <f>завтрак!C9</f>
        <v>кг</v>
      </c>
      <c r="D9" s="46">
        <f>завтрак!D9</f>
        <v>467</v>
      </c>
      <c r="E9" s="232"/>
      <c r="F9" s="30">
        <f t="shared" si="2"/>
        <v>0</v>
      </c>
      <c r="G9" s="232">
        <f>6+1</f>
        <v>7</v>
      </c>
      <c r="H9" s="30">
        <f t="shared" si="3"/>
        <v>3.27</v>
      </c>
      <c r="I9" s="232"/>
      <c r="J9" s="30">
        <f t="shared" si="4"/>
        <v>0</v>
      </c>
      <c r="K9" s="232">
        <v>6</v>
      </c>
      <c r="L9" s="30">
        <f t="shared" si="5"/>
        <v>2.8</v>
      </c>
      <c r="M9" s="238">
        <v>1</v>
      </c>
      <c r="N9" s="30">
        <f t="shared" si="6"/>
        <v>0.47</v>
      </c>
      <c r="O9" s="232"/>
      <c r="P9" s="30">
        <f t="shared" si="7"/>
        <v>0</v>
      </c>
      <c r="Q9" s="232"/>
      <c r="R9" s="30">
        <f t="shared" si="8"/>
        <v>0</v>
      </c>
      <c r="S9" s="232">
        <v>2</v>
      </c>
      <c r="T9" s="30">
        <f t="shared" si="9"/>
        <v>0.93</v>
      </c>
      <c r="U9" s="232">
        <v>6</v>
      </c>
      <c r="V9" s="30">
        <f t="shared" si="10"/>
        <v>2.8</v>
      </c>
      <c r="W9" s="238"/>
      <c r="X9" s="30">
        <f t="shared" si="11"/>
        <v>0</v>
      </c>
      <c r="Y9" s="37">
        <f t="shared" si="0"/>
        <v>22</v>
      </c>
      <c r="Z9" s="30">
        <f t="shared" si="12"/>
        <v>10.27</v>
      </c>
      <c r="AA9" s="61">
        <f t="shared" si="1"/>
        <v>110</v>
      </c>
    </row>
    <row r="10" spans="1:27" ht="15">
      <c r="A10" s="33">
        <v>8</v>
      </c>
      <c r="B10" s="31" t="str">
        <f>завтрак!B10</f>
        <v>Сметана (15%)</v>
      </c>
      <c r="C10" s="32" t="str">
        <f>завтрак!C10</f>
        <v>кг</v>
      </c>
      <c r="D10" s="46">
        <f>завтрак!D10</f>
        <v>199</v>
      </c>
      <c r="E10" s="232"/>
      <c r="F10" s="30">
        <f t="shared" si="2"/>
        <v>0</v>
      </c>
      <c r="G10" s="232"/>
      <c r="H10" s="30">
        <f t="shared" si="3"/>
        <v>0</v>
      </c>
      <c r="I10" s="232"/>
      <c r="J10" s="30">
        <f t="shared" si="4"/>
        <v>0</v>
      </c>
      <c r="K10" s="232">
        <v>9</v>
      </c>
      <c r="L10" s="30">
        <f t="shared" si="5"/>
        <v>1.79</v>
      </c>
      <c r="M10" s="238"/>
      <c r="N10" s="30">
        <f t="shared" si="6"/>
        <v>0</v>
      </c>
      <c r="O10" s="232"/>
      <c r="P10" s="30">
        <f t="shared" si="7"/>
        <v>0</v>
      </c>
      <c r="Q10" s="232"/>
      <c r="R10" s="30">
        <f t="shared" si="8"/>
        <v>0</v>
      </c>
      <c r="S10" s="232"/>
      <c r="T10" s="30">
        <f t="shared" si="9"/>
        <v>0</v>
      </c>
      <c r="U10" s="232">
        <v>9</v>
      </c>
      <c r="V10" s="30">
        <f t="shared" si="10"/>
        <v>1.79</v>
      </c>
      <c r="W10" s="238"/>
      <c r="X10" s="30">
        <f t="shared" si="11"/>
        <v>0</v>
      </c>
      <c r="Y10" s="37">
        <f t="shared" si="0"/>
        <v>18</v>
      </c>
      <c r="Z10" s="30">
        <f t="shared" si="12"/>
        <v>3.58</v>
      </c>
      <c r="AA10" s="61">
        <f t="shared" si="1"/>
        <v>90</v>
      </c>
    </row>
    <row r="11" spans="1:27" ht="15">
      <c r="A11" s="33">
        <v>9</v>
      </c>
      <c r="B11" s="31" t="str">
        <f>завтрак!B11</f>
        <v>Творог (5%)</v>
      </c>
      <c r="C11" s="32" t="str">
        <f>завтрак!C11</f>
        <v>кг</v>
      </c>
      <c r="D11" s="46">
        <f>завтрак!D11</f>
        <v>217</v>
      </c>
      <c r="E11" s="232"/>
      <c r="F11" s="30">
        <f t="shared" si="2"/>
        <v>0</v>
      </c>
      <c r="G11" s="232"/>
      <c r="H11" s="30">
        <f t="shared" si="3"/>
        <v>0</v>
      </c>
      <c r="I11" s="232"/>
      <c r="J11" s="30">
        <f t="shared" si="4"/>
        <v>0</v>
      </c>
      <c r="K11" s="232"/>
      <c r="L11" s="30">
        <f t="shared" si="5"/>
        <v>0</v>
      </c>
      <c r="M11" s="238">
        <v>15</v>
      </c>
      <c r="N11" s="30">
        <f t="shared" si="6"/>
        <v>3.26</v>
      </c>
      <c r="O11" s="232"/>
      <c r="P11" s="30">
        <f t="shared" si="7"/>
        <v>0</v>
      </c>
      <c r="Q11" s="232"/>
      <c r="R11" s="30">
        <f t="shared" si="8"/>
        <v>0</v>
      </c>
      <c r="S11" s="232"/>
      <c r="T11" s="30">
        <f t="shared" si="9"/>
        <v>0</v>
      </c>
      <c r="U11" s="232"/>
      <c r="V11" s="30">
        <f t="shared" si="10"/>
        <v>0</v>
      </c>
      <c r="W11" s="238"/>
      <c r="X11" s="30">
        <f t="shared" si="11"/>
        <v>0</v>
      </c>
      <c r="Y11" s="37">
        <f t="shared" si="0"/>
        <v>15</v>
      </c>
      <c r="Z11" s="30">
        <f t="shared" si="12"/>
        <v>3.26</v>
      </c>
      <c r="AA11" s="61">
        <f t="shared" si="1"/>
        <v>75</v>
      </c>
    </row>
    <row r="12" spans="1:27" ht="15">
      <c r="A12" s="33">
        <v>10</v>
      </c>
      <c r="B12" s="31" t="str">
        <f>завтрак!B12</f>
        <v>Сыр твердый (45%)</v>
      </c>
      <c r="C12" s="32" t="str">
        <f>завтрак!C12</f>
        <v>кг</v>
      </c>
      <c r="D12" s="46">
        <f>завтрак!D12</f>
        <v>543</v>
      </c>
      <c r="E12" s="232"/>
      <c r="F12" s="30">
        <f t="shared" si="2"/>
        <v>0</v>
      </c>
      <c r="G12" s="232"/>
      <c r="H12" s="30">
        <f t="shared" si="3"/>
        <v>0</v>
      </c>
      <c r="I12" s="232"/>
      <c r="J12" s="30">
        <f t="shared" si="4"/>
        <v>0</v>
      </c>
      <c r="K12" s="232"/>
      <c r="L12" s="30">
        <f t="shared" si="5"/>
        <v>0</v>
      </c>
      <c r="M12" s="238"/>
      <c r="N12" s="30">
        <f t="shared" si="6"/>
        <v>0</v>
      </c>
      <c r="O12" s="232"/>
      <c r="P12" s="30">
        <f t="shared" si="7"/>
        <v>0</v>
      </c>
      <c r="Q12" s="232"/>
      <c r="R12" s="30">
        <f t="shared" si="8"/>
        <v>0</v>
      </c>
      <c r="S12" s="232"/>
      <c r="T12" s="30">
        <f t="shared" si="9"/>
        <v>0</v>
      </c>
      <c r="U12" s="232"/>
      <c r="V12" s="30">
        <f t="shared" si="10"/>
        <v>0</v>
      </c>
      <c r="W12" s="238"/>
      <c r="X12" s="30">
        <f t="shared" si="11"/>
        <v>0</v>
      </c>
      <c r="Y12" s="37">
        <f t="shared" si="0"/>
        <v>0</v>
      </c>
      <c r="Z12" s="30">
        <f t="shared" si="12"/>
        <v>0</v>
      </c>
      <c r="AA12" s="61">
        <f t="shared" si="1"/>
        <v>0</v>
      </c>
    </row>
    <row r="13" spans="1:27" ht="30">
      <c r="A13" s="33">
        <v>11</v>
      </c>
      <c r="B13" s="31" t="str">
        <f>завтрак!B13</f>
        <v>Молоко сгущенное цельное с сахаром (8,5%)</v>
      </c>
      <c r="C13" s="32" t="str">
        <f>завтрак!C13</f>
        <v>кг</v>
      </c>
      <c r="D13" s="46">
        <f>завтрак!D13</f>
        <v>247</v>
      </c>
      <c r="E13" s="232"/>
      <c r="F13" s="30">
        <f t="shared" si="2"/>
        <v>0</v>
      </c>
      <c r="G13" s="232"/>
      <c r="H13" s="30">
        <f t="shared" si="3"/>
        <v>0</v>
      </c>
      <c r="I13" s="232"/>
      <c r="J13" s="30">
        <f t="shared" si="4"/>
        <v>0</v>
      </c>
      <c r="K13" s="232"/>
      <c r="L13" s="30">
        <f t="shared" si="5"/>
        <v>0</v>
      </c>
      <c r="M13" s="238"/>
      <c r="N13" s="30">
        <f t="shared" si="6"/>
        <v>0</v>
      </c>
      <c r="O13" s="232"/>
      <c r="P13" s="30">
        <f t="shared" si="7"/>
        <v>0</v>
      </c>
      <c r="Q13" s="232"/>
      <c r="R13" s="30">
        <f t="shared" si="8"/>
        <v>0</v>
      </c>
      <c r="S13" s="232"/>
      <c r="T13" s="30">
        <f t="shared" si="9"/>
        <v>0</v>
      </c>
      <c r="U13" s="232"/>
      <c r="V13" s="30">
        <f t="shared" si="10"/>
        <v>0</v>
      </c>
      <c r="W13" s="238"/>
      <c r="X13" s="30">
        <f t="shared" si="11"/>
        <v>0</v>
      </c>
      <c r="Y13" s="37">
        <f t="shared" si="0"/>
        <v>0</v>
      </c>
      <c r="Z13" s="30">
        <f t="shared" si="12"/>
        <v>0</v>
      </c>
      <c r="AA13" s="61">
        <f t="shared" si="1"/>
        <v>0</v>
      </c>
    </row>
    <row r="14" spans="1:27" ht="15">
      <c r="A14" s="33">
        <v>12</v>
      </c>
      <c r="B14" s="31" t="str">
        <f>завтрак!B14</f>
        <v>Картофель (1 сорт)</v>
      </c>
      <c r="C14" s="32" t="str">
        <f>завтрак!C14</f>
        <v>кг</v>
      </c>
      <c r="D14" s="46">
        <f>завтрак!D14</f>
        <v>54</v>
      </c>
      <c r="E14" s="232">
        <v>47</v>
      </c>
      <c r="F14" s="30">
        <f t="shared" si="2"/>
        <v>2.54</v>
      </c>
      <c r="G14" s="232"/>
      <c r="H14" s="30">
        <f t="shared" si="3"/>
        <v>0</v>
      </c>
      <c r="I14" s="232"/>
      <c r="J14" s="30">
        <f t="shared" si="4"/>
        <v>0</v>
      </c>
      <c r="K14" s="232"/>
      <c r="L14" s="30">
        <f t="shared" si="5"/>
        <v>0</v>
      </c>
      <c r="M14" s="238"/>
      <c r="N14" s="30">
        <f t="shared" si="6"/>
        <v>0</v>
      </c>
      <c r="O14" s="232">
        <v>47</v>
      </c>
      <c r="P14" s="30">
        <f t="shared" si="7"/>
        <v>2.54</v>
      </c>
      <c r="Q14" s="232"/>
      <c r="R14" s="30">
        <f t="shared" si="8"/>
        <v>0</v>
      </c>
      <c r="S14" s="232"/>
      <c r="T14" s="30">
        <f t="shared" si="9"/>
        <v>0</v>
      </c>
      <c r="U14" s="232"/>
      <c r="V14" s="30">
        <f t="shared" si="10"/>
        <v>0</v>
      </c>
      <c r="W14" s="238"/>
      <c r="X14" s="30">
        <f t="shared" si="11"/>
        <v>0</v>
      </c>
      <c r="Y14" s="37">
        <f t="shared" si="0"/>
        <v>94</v>
      </c>
      <c r="Z14" s="30">
        <f t="shared" si="12"/>
        <v>5.08</v>
      </c>
      <c r="AA14" s="61">
        <f t="shared" si="1"/>
        <v>470</v>
      </c>
    </row>
    <row r="15" spans="1:27" ht="15">
      <c r="A15" s="33">
        <v>13</v>
      </c>
      <c r="B15" s="31" t="str">
        <f>завтрак!B15</f>
        <v>Капуста белокачанная (1 сорт)</v>
      </c>
      <c r="C15" s="32" t="str">
        <f>завтрак!C15</f>
        <v>кг</v>
      </c>
      <c r="D15" s="46">
        <f>завтрак!D15</f>
        <v>57</v>
      </c>
      <c r="E15" s="232"/>
      <c r="F15" s="30">
        <f t="shared" si="2"/>
        <v>0</v>
      </c>
      <c r="G15" s="232"/>
      <c r="H15" s="30">
        <f t="shared" si="3"/>
        <v>0</v>
      </c>
      <c r="I15" s="232">
        <v>58</v>
      </c>
      <c r="J15" s="30">
        <f t="shared" si="4"/>
        <v>3.31</v>
      </c>
      <c r="K15" s="232"/>
      <c r="L15" s="30">
        <f t="shared" si="5"/>
        <v>0</v>
      </c>
      <c r="M15" s="238"/>
      <c r="N15" s="30">
        <f t="shared" si="6"/>
        <v>0</v>
      </c>
      <c r="O15" s="232"/>
      <c r="P15" s="30">
        <f t="shared" si="7"/>
        <v>0</v>
      </c>
      <c r="Q15" s="232">
        <v>58</v>
      </c>
      <c r="R15" s="30">
        <f t="shared" si="8"/>
        <v>3.31</v>
      </c>
      <c r="S15" s="232"/>
      <c r="T15" s="30">
        <f t="shared" si="9"/>
        <v>0</v>
      </c>
      <c r="U15" s="232"/>
      <c r="V15" s="30">
        <f t="shared" si="10"/>
        <v>0</v>
      </c>
      <c r="W15" s="238"/>
      <c r="X15" s="30">
        <f t="shared" si="11"/>
        <v>0</v>
      </c>
      <c r="Y15" s="37">
        <f t="shared" si="0"/>
        <v>116</v>
      </c>
      <c r="Z15" s="30">
        <f t="shared" si="12"/>
        <v>6.61</v>
      </c>
      <c r="AA15" s="61">
        <f t="shared" si="1"/>
        <v>580</v>
      </c>
    </row>
    <row r="16" spans="1:27" ht="15">
      <c r="A16" s="33">
        <v>14</v>
      </c>
      <c r="B16" s="31" t="str">
        <f>завтрак!B16</f>
        <v>Лук репчатый (1 сорт)</v>
      </c>
      <c r="C16" s="32" t="str">
        <f>завтрак!C16</f>
        <v>кг</v>
      </c>
      <c r="D16" s="46">
        <f>завтрак!D16</f>
        <v>49</v>
      </c>
      <c r="E16" s="232">
        <v>11</v>
      </c>
      <c r="F16" s="30">
        <f t="shared" si="2"/>
        <v>0.54</v>
      </c>
      <c r="G16" s="232"/>
      <c r="H16" s="30">
        <f t="shared" si="3"/>
        <v>0</v>
      </c>
      <c r="I16" s="232">
        <v>6</v>
      </c>
      <c r="J16" s="30">
        <f t="shared" si="4"/>
        <v>0.29</v>
      </c>
      <c r="K16" s="232"/>
      <c r="L16" s="30">
        <f t="shared" si="5"/>
        <v>0</v>
      </c>
      <c r="M16" s="238"/>
      <c r="N16" s="30">
        <f t="shared" si="6"/>
        <v>0</v>
      </c>
      <c r="O16" s="232">
        <v>11</v>
      </c>
      <c r="P16" s="30">
        <f t="shared" si="7"/>
        <v>0.54</v>
      </c>
      <c r="Q16" s="232">
        <v>6</v>
      </c>
      <c r="R16" s="30">
        <f t="shared" si="8"/>
        <v>0.29</v>
      </c>
      <c r="S16" s="232"/>
      <c r="T16" s="30">
        <f t="shared" si="9"/>
        <v>0</v>
      </c>
      <c r="U16" s="232"/>
      <c r="V16" s="30">
        <f t="shared" si="10"/>
        <v>0</v>
      </c>
      <c r="W16" s="238"/>
      <c r="X16" s="30">
        <f t="shared" si="11"/>
        <v>0</v>
      </c>
      <c r="Y16" s="37">
        <f t="shared" si="0"/>
        <v>34</v>
      </c>
      <c r="Z16" s="30">
        <f t="shared" si="12"/>
        <v>1.67</v>
      </c>
      <c r="AA16" s="61">
        <f t="shared" si="1"/>
        <v>170</v>
      </c>
    </row>
    <row r="17" spans="1:27" ht="15">
      <c r="A17" s="33">
        <v>15</v>
      </c>
      <c r="B17" s="31" t="str">
        <f>завтрак!B17</f>
        <v>Морковь (1 сорт)</v>
      </c>
      <c r="C17" s="32" t="str">
        <f>завтрак!C17</f>
        <v>кг</v>
      </c>
      <c r="D17" s="46">
        <f>завтрак!D17</f>
        <v>60</v>
      </c>
      <c r="E17" s="232"/>
      <c r="F17" s="30">
        <f t="shared" si="2"/>
        <v>0</v>
      </c>
      <c r="G17" s="232"/>
      <c r="H17" s="30">
        <f t="shared" si="3"/>
        <v>0</v>
      </c>
      <c r="I17" s="232"/>
      <c r="J17" s="30">
        <f t="shared" si="4"/>
        <v>0</v>
      </c>
      <c r="K17" s="232"/>
      <c r="L17" s="30">
        <f t="shared" si="5"/>
        <v>0</v>
      </c>
      <c r="M17" s="238"/>
      <c r="N17" s="30">
        <f t="shared" si="6"/>
        <v>0</v>
      </c>
      <c r="O17" s="232"/>
      <c r="P17" s="30">
        <f t="shared" si="7"/>
        <v>0</v>
      </c>
      <c r="Q17" s="232"/>
      <c r="R17" s="30">
        <f t="shared" si="8"/>
        <v>0</v>
      </c>
      <c r="S17" s="232"/>
      <c r="T17" s="30">
        <f t="shared" si="9"/>
        <v>0</v>
      </c>
      <c r="U17" s="232"/>
      <c r="V17" s="30">
        <f t="shared" si="10"/>
        <v>0</v>
      </c>
      <c r="W17" s="238"/>
      <c r="X17" s="30">
        <f t="shared" si="11"/>
        <v>0</v>
      </c>
      <c r="Y17" s="37">
        <f t="shared" si="0"/>
        <v>0</v>
      </c>
      <c r="Z17" s="30">
        <f t="shared" si="12"/>
        <v>0</v>
      </c>
      <c r="AA17" s="61">
        <f t="shared" si="1"/>
        <v>0</v>
      </c>
    </row>
    <row r="18" spans="1:27" ht="15">
      <c r="A18" s="33">
        <v>16</v>
      </c>
      <c r="B18" s="31" t="str">
        <f>завтрак!B18</f>
        <v>Свекла (1 сорт)</v>
      </c>
      <c r="C18" s="32" t="str">
        <f>завтрак!C18</f>
        <v>кг</v>
      </c>
      <c r="D18" s="46">
        <f>завтрак!D18</f>
        <v>51</v>
      </c>
      <c r="E18" s="232"/>
      <c r="F18" s="30">
        <f t="shared" si="2"/>
        <v>0</v>
      </c>
      <c r="G18" s="232"/>
      <c r="H18" s="30">
        <f t="shared" si="3"/>
        <v>0</v>
      </c>
      <c r="I18" s="232"/>
      <c r="J18" s="30">
        <f t="shared" si="4"/>
        <v>0</v>
      </c>
      <c r="K18" s="232"/>
      <c r="L18" s="30">
        <f t="shared" si="5"/>
        <v>0</v>
      </c>
      <c r="M18" s="238"/>
      <c r="N18" s="30">
        <f t="shared" si="6"/>
        <v>0</v>
      </c>
      <c r="O18" s="232"/>
      <c r="P18" s="30">
        <f t="shared" si="7"/>
        <v>0</v>
      </c>
      <c r="Q18" s="232"/>
      <c r="R18" s="30">
        <f t="shared" si="8"/>
        <v>0</v>
      </c>
      <c r="S18" s="232"/>
      <c r="T18" s="30">
        <f t="shared" si="9"/>
        <v>0</v>
      </c>
      <c r="U18" s="232"/>
      <c r="V18" s="30">
        <f t="shared" si="10"/>
        <v>0</v>
      </c>
      <c r="W18" s="238"/>
      <c r="X18" s="30">
        <f t="shared" si="11"/>
        <v>0</v>
      </c>
      <c r="Y18" s="37">
        <f t="shared" si="0"/>
        <v>0</v>
      </c>
      <c r="Z18" s="30">
        <f t="shared" si="12"/>
        <v>0</v>
      </c>
      <c r="AA18" s="61">
        <f t="shared" si="1"/>
        <v>0</v>
      </c>
    </row>
    <row r="19" spans="1:27" ht="30">
      <c r="A19" s="33">
        <v>17</v>
      </c>
      <c r="B19" s="31" t="str">
        <f>завтрак!B19</f>
        <v>Огурцы консервированные без уксуса (1 с)</v>
      </c>
      <c r="C19" s="32" t="str">
        <f>завтрак!C19</f>
        <v>кг</v>
      </c>
      <c r="D19" s="46">
        <f>завтрак!D19</f>
        <v>74</v>
      </c>
      <c r="E19" s="232"/>
      <c r="F19" s="30">
        <f t="shared" si="2"/>
        <v>0</v>
      </c>
      <c r="G19" s="232"/>
      <c r="H19" s="30">
        <f t="shared" si="3"/>
        <v>0</v>
      </c>
      <c r="I19" s="232"/>
      <c r="J19" s="30">
        <f t="shared" si="4"/>
        <v>0</v>
      </c>
      <c r="K19" s="232"/>
      <c r="L19" s="30">
        <f t="shared" si="5"/>
        <v>0</v>
      </c>
      <c r="M19" s="238"/>
      <c r="N19" s="30">
        <f t="shared" si="6"/>
        <v>0</v>
      </c>
      <c r="O19" s="232"/>
      <c r="P19" s="30">
        <f t="shared" si="7"/>
        <v>0</v>
      </c>
      <c r="Q19" s="232"/>
      <c r="R19" s="30">
        <f t="shared" si="8"/>
        <v>0</v>
      </c>
      <c r="S19" s="232"/>
      <c r="T19" s="30">
        <f t="shared" si="9"/>
        <v>0</v>
      </c>
      <c r="U19" s="232"/>
      <c r="V19" s="30">
        <f t="shared" si="10"/>
        <v>0</v>
      </c>
      <c r="W19" s="238"/>
      <c r="X19" s="30">
        <f t="shared" si="11"/>
        <v>0</v>
      </c>
      <c r="Y19" s="37">
        <f>(E19+G19+I19+K19+M19+O19+Q19+S19+U19+W19)</f>
        <v>0</v>
      </c>
      <c r="Z19" s="30">
        <f t="shared" si="12"/>
        <v>0</v>
      </c>
      <c r="AA19" s="61">
        <f t="shared" si="1"/>
        <v>0</v>
      </c>
    </row>
    <row r="20" spans="1:27" ht="30">
      <c r="A20" s="33">
        <v>18</v>
      </c>
      <c r="B20" s="31" t="str">
        <f>завтрак!B20</f>
        <v>Икра кабачковая для дет. питания</v>
      </c>
      <c r="C20" s="32" t="str">
        <f>завтрак!C20</f>
        <v>кг</v>
      </c>
      <c r="D20" s="46">
        <f>завтрак!D20</f>
        <v>123</v>
      </c>
      <c r="E20" s="232"/>
      <c r="F20" s="30">
        <f t="shared" si="2"/>
        <v>0</v>
      </c>
      <c r="G20" s="232"/>
      <c r="H20" s="30">
        <f t="shared" si="3"/>
        <v>0</v>
      </c>
      <c r="I20" s="232"/>
      <c r="J20" s="30">
        <f t="shared" si="4"/>
        <v>0</v>
      </c>
      <c r="K20" s="232"/>
      <c r="L20" s="30">
        <f t="shared" si="5"/>
        <v>0</v>
      </c>
      <c r="M20" s="238"/>
      <c r="N20" s="30">
        <f t="shared" si="6"/>
        <v>0</v>
      </c>
      <c r="O20" s="232"/>
      <c r="P20" s="30">
        <f t="shared" si="7"/>
        <v>0</v>
      </c>
      <c r="Q20" s="232"/>
      <c r="R20" s="30">
        <f t="shared" si="8"/>
        <v>0</v>
      </c>
      <c r="S20" s="232"/>
      <c r="T20" s="30">
        <f t="shared" si="9"/>
        <v>0</v>
      </c>
      <c r="U20" s="232"/>
      <c r="V20" s="30">
        <f t="shared" si="10"/>
        <v>0</v>
      </c>
      <c r="W20" s="238"/>
      <c r="X20" s="30">
        <f t="shared" si="11"/>
        <v>0</v>
      </c>
      <c r="Y20" s="37">
        <f t="shared" si="0"/>
        <v>0</v>
      </c>
      <c r="Z20" s="30">
        <f t="shared" si="12"/>
        <v>0</v>
      </c>
      <c r="AA20" s="61">
        <f t="shared" si="1"/>
        <v>0</v>
      </c>
    </row>
    <row r="21" spans="1:27" ht="30">
      <c r="A21" s="33">
        <v>19</v>
      </c>
      <c r="B21" s="31" t="str">
        <f>завтрак!B21</f>
        <v>Горошек зеленый (сорт салатный)</v>
      </c>
      <c r="C21" s="32" t="str">
        <f>завтрак!C21</f>
        <v>кг</v>
      </c>
      <c r="D21" s="46">
        <f>завтрак!D21</f>
        <v>123</v>
      </c>
      <c r="E21" s="232"/>
      <c r="F21" s="30">
        <f t="shared" si="2"/>
        <v>0</v>
      </c>
      <c r="G21" s="232"/>
      <c r="H21" s="30">
        <f t="shared" si="3"/>
        <v>0</v>
      </c>
      <c r="I21" s="232"/>
      <c r="J21" s="30">
        <f t="shared" si="4"/>
        <v>0</v>
      </c>
      <c r="K21" s="232"/>
      <c r="L21" s="30">
        <f t="shared" si="5"/>
        <v>0</v>
      </c>
      <c r="M21" s="238"/>
      <c r="N21" s="30">
        <f t="shared" si="6"/>
        <v>0</v>
      </c>
      <c r="O21" s="232"/>
      <c r="P21" s="30">
        <f t="shared" si="7"/>
        <v>0</v>
      </c>
      <c r="Q21" s="232"/>
      <c r="R21" s="30">
        <f t="shared" si="8"/>
        <v>0</v>
      </c>
      <c r="S21" s="232"/>
      <c r="T21" s="30">
        <f t="shared" si="9"/>
        <v>0</v>
      </c>
      <c r="U21" s="232"/>
      <c r="V21" s="30">
        <f t="shared" si="10"/>
        <v>0</v>
      </c>
      <c r="W21" s="238"/>
      <c r="X21" s="30">
        <f t="shared" si="11"/>
        <v>0</v>
      </c>
      <c r="Y21" s="37">
        <f t="shared" si="0"/>
        <v>0</v>
      </c>
      <c r="Z21" s="30">
        <f t="shared" si="12"/>
        <v>0</v>
      </c>
      <c r="AA21" s="61">
        <f t="shared" si="1"/>
        <v>0</v>
      </c>
    </row>
    <row r="22" spans="1:27" ht="30">
      <c r="A22" s="33">
        <v>20</v>
      </c>
      <c r="B22" s="31" t="str">
        <f>завтрак!B22</f>
        <v>Томатная паста с содержанием с/в (25-30%)</v>
      </c>
      <c r="C22" s="32" t="str">
        <f>завтрак!C22</f>
        <v>кг</v>
      </c>
      <c r="D22" s="46">
        <f>завтрак!D22</f>
        <v>142</v>
      </c>
      <c r="E22" s="232"/>
      <c r="F22" s="30">
        <f t="shared" si="2"/>
        <v>0</v>
      </c>
      <c r="G22" s="232"/>
      <c r="H22" s="30">
        <f t="shared" si="3"/>
        <v>0</v>
      </c>
      <c r="I22" s="232"/>
      <c r="J22" s="30">
        <f t="shared" si="4"/>
        <v>0</v>
      </c>
      <c r="K22" s="232"/>
      <c r="L22" s="30">
        <f t="shared" si="5"/>
        <v>0</v>
      </c>
      <c r="M22" s="238"/>
      <c r="N22" s="30">
        <f t="shared" si="6"/>
        <v>0</v>
      </c>
      <c r="O22" s="232"/>
      <c r="P22" s="30">
        <f t="shared" si="7"/>
        <v>0</v>
      </c>
      <c r="Q22" s="232"/>
      <c r="R22" s="30">
        <f t="shared" si="8"/>
        <v>0</v>
      </c>
      <c r="S22" s="232"/>
      <c r="T22" s="30">
        <f t="shared" si="9"/>
        <v>0</v>
      </c>
      <c r="U22" s="232"/>
      <c r="V22" s="30">
        <f t="shared" si="10"/>
        <v>0</v>
      </c>
      <c r="W22" s="238"/>
      <c r="X22" s="30">
        <f t="shared" si="11"/>
        <v>0</v>
      </c>
      <c r="Y22" s="37">
        <f t="shared" si="0"/>
        <v>0</v>
      </c>
      <c r="Z22" s="30">
        <f t="shared" si="12"/>
        <v>0</v>
      </c>
      <c r="AA22" s="61">
        <f t="shared" si="1"/>
        <v>0</v>
      </c>
    </row>
    <row r="23" spans="1:27" ht="15">
      <c r="A23" s="33">
        <v>21</v>
      </c>
      <c r="B23" s="31" t="str">
        <f>завтрак!B23</f>
        <v>Яблоки свежие (1 сорт)</v>
      </c>
      <c r="C23" s="32" t="str">
        <f>завтрак!C23</f>
        <v>кг</v>
      </c>
      <c r="D23" s="46">
        <f>завтрак!D23</f>
        <v>110</v>
      </c>
      <c r="E23" s="232"/>
      <c r="F23" s="30">
        <f t="shared" si="2"/>
        <v>0</v>
      </c>
      <c r="G23" s="232"/>
      <c r="H23" s="30">
        <f t="shared" si="3"/>
        <v>0</v>
      </c>
      <c r="I23" s="232"/>
      <c r="J23" s="30">
        <f t="shared" si="4"/>
        <v>0</v>
      </c>
      <c r="K23" s="232"/>
      <c r="L23" s="30">
        <f t="shared" si="5"/>
        <v>0</v>
      </c>
      <c r="M23" s="238"/>
      <c r="N23" s="30">
        <f t="shared" si="6"/>
        <v>0</v>
      </c>
      <c r="O23" s="232"/>
      <c r="P23" s="30">
        <f t="shared" si="7"/>
        <v>0</v>
      </c>
      <c r="Q23" s="232"/>
      <c r="R23" s="30">
        <f t="shared" si="8"/>
        <v>0</v>
      </c>
      <c r="S23" s="232"/>
      <c r="T23" s="30">
        <f t="shared" si="9"/>
        <v>0</v>
      </c>
      <c r="U23" s="232"/>
      <c r="V23" s="30">
        <f t="shared" si="10"/>
        <v>0</v>
      </c>
      <c r="W23" s="238"/>
      <c r="X23" s="30">
        <f t="shared" si="11"/>
        <v>0</v>
      </c>
      <c r="Y23" s="37">
        <f t="shared" si="0"/>
        <v>0</v>
      </c>
      <c r="Z23" s="30">
        <f t="shared" si="12"/>
        <v>0</v>
      </c>
      <c r="AA23" s="61">
        <f t="shared" si="1"/>
        <v>0</v>
      </c>
    </row>
    <row r="24" spans="1:27" ht="15">
      <c r="A24" s="33">
        <v>22</v>
      </c>
      <c r="B24" s="31" t="str">
        <f>завтрак!B24</f>
        <v>Бананы свежие (1 сорт)</v>
      </c>
      <c r="C24" s="32" t="str">
        <f>завтрак!C24</f>
        <v>кг</v>
      </c>
      <c r="D24" s="46">
        <f>завтрак!D24</f>
        <v>172</v>
      </c>
      <c r="E24" s="232"/>
      <c r="F24" s="30">
        <f t="shared" si="2"/>
        <v>0</v>
      </c>
      <c r="G24" s="232"/>
      <c r="H24" s="30">
        <f t="shared" si="3"/>
        <v>0</v>
      </c>
      <c r="I24" s="232"/>
      <c r="J24" s="30">
        <f t="shared" si="4"/>
        <v>0</v>
      </c>
      <c r="K24" s="232"/>
      <c r="L24" s="30">
        <f t="shared" si="5"/>
        <v>0</v>
      </c>
      <c r="M24" s="238"/>
      <c r="N24" s="30">
        <f t="shared" si="6"/>
        <v>0</v>
      </c>
      <c r="O24" s="232"/>
      <c r="P24" s="30">
        <f t="shared" si="7"/>
        <v>0</v>
      </c>
      <c r="Q24" s="232"/>
      <c r="R24" s="30">
        <f t="shared" si="8"/>
        <v>0</v>
      </c>
      <c r="S24" s="232"/>
      <c r="T24" s="30">
        <f t="shared" si="9"/>
        <v>0</v>
      </c>
      <c r="U24" s="232"/>
      <c r="V24" s="30">
        <f t="shared" si="10"/>
        <v>0</v>
      </c>
      <c r="W24" s="238"/>
      <c r="X24" s="30">
        <f t="shared" si="11"/>
        <v>0</v>
      </c>
      <c r="Y24" s="37">
        <f t="shared" si="0"/>
        <v>0</v>
      </c>
      <c r="Z24" s="30">
        <f t="shared" si="12"/>
        <v>0</v>
      </c>
      <c r="AA24" s="61">
        <f t="shared" si="1"/>
        <v>0</v>
      </c>
    </row>
    <row r="25" spans="1:27" ht="15">
      <c r="A25" s="33">
        <v>23</v>
      </c>
      <c r="B25" s="31" t="str">
        <f>завтрак!B25</f>
        <v>Сухофрукты ассорти</v>
      </c>
      <c r="C25" s="32" t="str">
        <f>завтрак!C25</f>
        <v>кг</v>
      </c>
      <c r="D25" s="46">
        <f>завтрак!D25</f>
        <v>140</v>
      </c>
      <c r="E25" s="232"/>
      <c r="F25" s="30">
        <f t="shared" si="2"/>
        <v>0</v>
      </c>
      <c r="G25" s="232"/>
      <c r="H25" s="30">
        <f t="shared" si="3"/>
        <v>0</v>
      </c>
      <c r="I25" s="232"/>
      <c r="J25" s="30">
        <f t="shared" si="4"/>
        <v>0</v>
      </c>
      <c r="K25" s="232"/>
      <c r="L25" s="30">
        <f t="shared" si="5"/>
        <v>0</v>
      </c>
      <c r="M25" s="238"/>
      <c r="N25" s="30">
        <f t="shared" si="6"/>
        <v>0</v>
      </c>
      <c r="O25" s="232"/>
      <c r="P25" s="30">
        <f t="shared" si="7"/>
        <v>0</v>
      </c>
      <c r="Q25" s="232"/>
      <c r="R25" s="30">
        <f t="shared" si="8"/>
        <v>0</v>
      </c>
      <c r="S25" s="232"/>
      <c r="T25" s="30">
        <f t="shared" si="9"/>
        <v>0</v>
      </c>
      <c r="U25" s="232"/>
      <c r="V25" s="30">
        <f t="shared" si="10"/>
        <v>0</v>
      </c>
      <c r="W25" s="238"/>
      <c r="X25" s="30">
        <f t="shared" si="11"/>
        <v>0</v>
      </c>
      <c r="Y25" s="37">
        <f t="shared" si="0"/>
        <v>0</v>
      </c>
      <c r="Z25" s="30">
        <f t="shared" si="12"/>
        <v>0</v>
      </c>
      <c r="AA25" s="61">
        <f t="shared" si="1"/>
        <v>0</v>
      </c>
    </row>
    <row r="26" spans="1:27" ht="15">
      <c r="A26" s="33">
        <v>24</v>
      </c>
      <c r="B26" s="31" t="str">
        <f>завтрак!B26</f>
        <v>Изюм</v>
      </c>
      <c r="C26" s="32" t="str">
        <f>завтрак!C26</f>
        <v>кг</v>
      </c>
      <c r="D26" s="46">
        <f>завтрак!D26</f>
        <v>293</v>
      </c>
      <c r="E26" s="232"/>
      <c r="F26" s="30">
        <f t="shared" si="2"/>
        <v>0</v>
      </c>
      <c r="G26" s="232"/>
      <c r="H26" s="30">
        <f t="shared" si="3"/>
        <v>0</v>
      </c>
      <c r="I26" s="232"/>
      <c r="J26" s="30">
        <f t="shared" si="4"/>
        <v>0</v>
      </c>
      <c r="K26" s="232"/>
      <c r="L26" s="30">
        <f t="shared" si="5"/>
        <v>0</v>
      </c>
      <c r="M26" s="238"/>
      <c r="N26" s="30">
        <f t="shared" si="6"/>
        <v>0</v>
      </c>
      <c r="O26" s="232"/>
      <c r="P26" s="30">
        <f t="shared" si="7"/>
        <v>0</v>
      </c>
      <c r="Q26" s="232"/>
      <c r="R26" s="30">
        <f t="shared" si="8"/>
        <v>0</v>
      </c>
      <c r="S26" s="232">
        <v>8</v>
      </c>
      <c r="T26" s="30">
        <f t="shared" si="9"/>
        <v>2.34</v>
      </c>
      <c r="U26" s="232"/>
      <c r="V26" s="30">
        <f t="shared" si="10"/>
        <v>0</v>
      </c>
      <c r="W26" s="238"/>
      <c r="X26" s="30">
        <f t="shared" si="11"/>
        <v>0</v>
      </c>
      <c r="Y26" s="37">
        <f t="shared" si="0"/>
        <v>8</v>
      </c>
      <c r="Z26" s="30">
        <f t="shared" si="12"/>
        <v>2.34</v>
      </c>
      <c r="AA26" s="61">
        <f t="shared" si="1"/>
        <v>40</v>
      </c>
    </row>
    <row r="27" spans="1:27" ht="15">
      <c r="A27" s="33">
        <v>25</v>
      </c>
      <c r="B27" s="31" t="str">
        <f>завтрак!B27</f>
        <v>Повидло фруктовое (1 сорт)</v>
      </c>
      <c r="C27" s="32" t="str">
        <f>завтрак!C27</f>
        <v>кг</v>
      </c>
      <c r="D27" s="46">
        <f>завтрак!D27</f>
        <v>147</v>
      </c>
      <c r="E27" s="232"/>
      <c r="F27" s="30">
        <f t="shared" si="2"/>
        <v>0</v>
      </c>
      <c r="G27" s="232"/>
      <c r="H27" s="30">
        <f t="shared" si="3"/>
        <v>0</v>
      </c>
      <c r="I27" s="232"/>
      <c r="J27" s="30">
        <f t="shared" si="4"/>
        <v>0</v>
      </c>
      <c r="K27" s="232"/>
      <c r="L27" s="30">
        <f t="shared" si="5"/>
        <v>0</v>
      </c>
      <c r="M27" s="238"/>
      <c r="N27" s="30">
        <f t="shared" si="6"/>
        <v>0</v>
      </c>
      <c r="O27" s="232"/>
      <c r="P27" s="30">
        <f t="shared" si="7"/>
        <v>0</v>
      </c>
      <c r="Q27" s="232"/>
      <c r="R27" s="30">
        <f t="shared" si="8"/>
        <v>0</v>
      </c>
      <c r="S27" s="232"/>
      <c r="T27" s="30">
        <f t="shared" si="9"/>
        <v>0</v>
      </c>
      <c r="U27" s="232"/>
      <c r="V27" s="30">
        <f t="shared" si="10"/>
        <v>0</v>
      </c>
      <c r="W27" s="238">
        <v>10</v>
      </c>
      <c r="X27" s="30">
        <f t="shared" si="11"/>
        <v>1.47</v>
      </c>
      <c r="Y27" s="37">
        <f t="shared" si="0"/>
        <v>10</v>
      </c>
      <c r="Z27" s="30">
        <f t="shared" si="12"/>
        <v>1.47</v>
      </c>
      <c r="AA27" s="61">
        <f t="shared" si="1"/>
        <v>50</v>
      </c>
    </row>
    <row r="28" spans="1:27" ht="15">
      <c r="A28" s="33">
        <v>26</v>
      </c>
      <c r="B28" s="31" t="str">
        <f>завтрак!B28</f>
        <v>Сок фруктовый (1 литр)</v>
      </c>
      <c r="C28" s="32" t="str">
        <f>завтрак!C28</f>
        <v>л</v>
      </c>
      <c r="D28" s="46">
        <f>завтрак!D28</f>
        <v>62</v>
      </c>
      <c r="E28" s="232">
        <v>180</v>
      </c>
      <c r="F28" s="30">
        <f t="shared" si="2"/>
        <v>11.16</v>
      </c>
      <c r="G28" s="232">
        <v>165</v>
      </c>
      <c r="H28" s="30">
        <f t="shared" si="3"/>
        <v>10.23</v>
      </c>
      <c r="I28" s="232">
        <v>160</v>
      </c>
      <c r="J28" s="30">
        <f t="shared" si="4"/>
        <v>9.92</v>
      </c>
      <c r="K28" s="232">
        <v>160</v>
      </c>
      <c r="L28" s="30">
        <f t="shared" si="5"/>
        <v>9.92</v>
      </c>
      <c r="M28" s="238">
        <v>160</v>
      </c>
      <c r="N28" s="30">
        <f t="shared" si="6"/>
        <v>9.92</v>
      </c>
      <c r="O28" s="232">
        <v>180</v>
      </c>
      <c r="P28" s="30">
        <f t="shared" si="7"/>
        <v>11.16</v>
      </c>
      <c r="Q28" s="232">
        <v>160</v>
      </c>
      <c r="R28" s="30">
        <f t="shared" si="8"/>
        <v>9.92</v>
      </c>
      <c r="S28" s="232">
        <v>165</v>
      </c>
      <c r="T28" s="30">
        <f t="shared" si="9"/>
        <v>10.23</v>
      </c>
      <c r="U28" s="232">
        <v>160</v>
      </c>
      <c r="V28" s="30">
        <f t="shared" si="10"/>
        <v>9.92</v>
      </c>
      <c r="W28" s="238">
        <v>160</v>
      </c>
      <c r="X28" s="30">
        <f t="shared" si="11"/>
        <v>9.92</v>
      </c>
      <c r="Y28" s="37">
        <f t="shared" si="0"/>
        <v>1650</v>
      </c>
      <c r="Z28" s="30">
        <f t="shared" si="12"/>
        <v>102.3</v>
      </c>
      <c r="AA28" s="61">
        <f t="shared" si="1"/>
        <v>8250</v>
      </c>
    </row>
    <row r="29" spans="1:27" ht="30">
      <c r="A29" s="33">
        <v>27</v>
      </c>
      <c r="B29" s="31" t="str">
        <f>завтрак!B29</f>
        <v>Масло растительное, рафинированное</v>
      </c>
      <c r="C29" s="32" t="str">
        <f>завтрак!C29</f>
        <v>кг</v>
      </c>
      <c r="D29" s="46">
        <f>завтрак!D29</f>
        <v>145</v>
      </c>
      <c r="E29" s="232">
        <v>5</v>
      </c>
      <c r="F29" s="30">
        <f t="shared" si="2"/>
        <v>0.73</v>
      </c>
      <c r="G29" s="232"/>
      <c r="H29" s="30">
        <f t="shared" si="3"/>
        <v>0</v>
      </c>
      <c r="I29" s="232">
        <v>7</v>
      </c>
      <c r="J29" s="30">
        <f t="shared" si="4"/>
        <v>1.02</v>
      </c>
      <c r="K29" s="232"/>
      <c r="L29" s="30">
        <f t="shared" si="5"/>
        <v>0</v>
      </c>
      <c r="M29" s="238">
        <v>4</v>
      </c>
      <c r="N29" s="30">
        <f t="shared" si="6"/>
        <v>0.58</v>
      </c>
      <c r="O29" s="232">
        <v>5</v>
      </c>
      <c r="P29" s="30">
        <f t="shared" si="7"/>
        <v>0.73</v>
      </c>
      <c r="Q29" s="232">
        <v>7</v>
      </c>
      <c r="R29" s="30">
        <f t="shared" si="8"/>
        <v>1.02</v>
      </c>
      <c r="S29" s="232"/>
      <c r="T29" s="30">
        <f t="shared" si="9"/>
        <v>0</v>
      </c>
      <c r="U29" s="232"/>
      <c r="V29" s="30">
        <f t="shared" si="10"/>
        <v>0</v>
      </c>
      <c r="W29" s="238">
        <v>6</v>
      </c>
      <c r="X29" s="30">
        <f t="shared" si="11"/>
        <v>0.87</v>
      </c>
      <c r="Y29" s="37">
        <f t="shared" si="0"/>
        <v>34</v>
      </c>
      <c r="Z29" s="30">
        <f t="shared" si="12"/>
        <v>4.93</v>
      </c>
      <c r="AA29" s="61">
        <f t="shared" si="1"/>
        <v>170</v>
      </c>
    </row>
    <row r="30" spans="1:27" ht="15">
      <c r="A30" s="33">
        <v>28</v>
      </c>
      <c r="B30" s="31" t="str">
        <f>завтрак!B30</f>
        <v>Рыба с/м (1 сорт), минтай</v>
      </c>
      <c r="C30" s="32" t="str">
        <f>завтрак!C30</f>
        <v>кг</v>
      </c>
      <c r="D30" s="46">
        <f>завтрак!D30</f>
        <v>210</v>
      </c>
      <c r="E30" s="232"/>
      <c r="F30" s="30">
        <f t="shared" si="2"/>
        <v>0</v>
      </c>
      <c r="G30" s="232"/>
      <c r="H30" s="30">
        <f t="shared" si="3"/>
        <v>0</v>
      </c>
      <c r="I30" s="232"/>
      <c r="J30" s="30">
        <f t="shared" si="4"/>
        <v>0</v>
      </c>
      <c r="K30" s="232"/>
      <c r="L30" s="30">
        <f t="shared" si="5"/>
        <v>0</v>
      </c>
      <c r="M30" s="238"/>
      <c r="N30" s="30">
        <f t="shared" si="6"/>
        <v>0</v>
      </c>
      <c r="O30" s="232"/>
      <c r="P30" s="30">
        <f t="shared" si="7"/>
        <v>0</v>
      </c>
      <c r="Q30" s="232"/>
      <c r="R30" s="30">
        <f t="shared" si="8"/>
        <v>0</v>
      </c>
      <c r="S30" s="232"/>
      <c r="T30" s="30">
        <f t="shared" si="9"/>
        <v>0</v>
      </c>
      <c r="U30" s="232"/>
      <c r="V30" s="30">
        <f t="shared" si="10"/>
        <v>0</v>
      </c>
      <c r="W30" s="238"/>
      <c r="X30" s="30">
        <f t="shared" si="11"/>
        <v>0</v>
      </c>
      <c r="Y30" s="37">
        <f t="shared" si="0"/>
        <v>0</v>
      </c>
      <c r="Z30" s="30">
        <f t="shared" si="12"/>
        <v>0</v>
      </c>
      <c r="AA30" s="61">
        <f t="shared" si="1"/>
        <v>0</v>
      </c>
    </row>
    <row r="31" spans="1:27" ht="15">
      <c r="A31" s="33">
        <v>29</v>
      </c>
      <c r="B31" s="31">
        <f>завтрак!B31</f>
        <v>0</v>
      </c>
      <c r="C31" s="32">
        <f>завтрак!C31</f>
        <v>0</v>
      </c>
      <c r="D31" s="46">
        <f>завтрак!D31</f>
        <v>0</v>
      </c>
      <c r="E31" s="232"/>
      <c r="F31" s="30">
        <f t="shared" si="2"/>
        <v>0</v>
      </c>
      <c r="G31" s="232"/>
      <c r="H31" s="30">
        <f t="shared" si="3"/>
        <v>0</v>
      </c>
      <c r="I31" s="232"/>
      <c r="J31" s="30">
        <f t="shared" si="4"/>
        <v>0</v>
      </c>
      <c r="K31" s="232"/>
      <c r="L31" s="30">
        <f t="shared" si="5"/>
        <v>0</v>
      </c>
      <c r="M31" s="238"/>
      <c r="N31" s="30">
        <f t="shared" si="6"/>
        <v>0</v>
      </c>
      <c r="O31" s="232"/>
      <c r="P31" s="30">
        <f t="shared" si="7"/>
        <v>0</v>
      </c>
      <c r="Q31" s="232"/>
      <c r="R31" s="30">
        <f t="shared" si="8"/>
        <v>0</v>
      </c>
      <c r="S31" s="232"/>
      <c r="T31" s="30">
        <f t="shared" si="9"/>
        <v>0</v>
      </c>
      <c r="U31" s="232"/>
      <c r="V31" s="30">
        <f t="shared" si="10"/>
        <v>0</v>
      </c>
      <c r="W31" s="238"/>
      <c r="X31" s="30">
        <f t="shared" si="11"/>
        <v>0</v>
      </c>
      <c r="Y31" s="37">
        <f t="shared" si="0"/>
        <v>0</v>
      </c>
      <c r="Z31" s="30">
        <f t="shared" si="12"/>
        <v>0</v>
      </c>
      <c r="AA31" s="61">
        <f t="shared" si="1"/>
        <v>0</v>
      </c>
    </row>
    <row r="32" spans="1:27" ht="15" customHeight="1">
      <c r="A32" s="33">
        <v>30</v>
      </c>
      <c r="B32" s="31" t="str">
        <f>завтрак!B32</f>
        <v>Мука пшеничная (высший сорт)</v>
      </c>
      <c r="C32" s="32" t="str">
        <f>завтрак!C32</f>
        <v>кг</v>
      </c>
      <c r="D32" s="46">
        <f>завтрак!D32</f>
        <v>40</v>
      </c>
      <c r="E32" s="232">
        <v>42</v>
      </c>
      <c r="F32" s="30">
        <f t="shared" si="2"/>
        <v>1.68</v>
      </c>
      <c r="G32" s="232">
        <v>55</v>
      </c>
      <c r="H32" s="30">
        <f t="shared" si="3"/>
        <v>2.2</v>
      </c>
      <c r="I32" s="232">
        <v>41</v>
      </c>
      <c r="J32" s="30">
        <f t="shared" si="4"/>
        <v>1.64</v>
      </c>
      <c r="K32" s="232">
        <v>55</v>
      </c>
      <c r="L32" s="30">
        <f t="shared" si="5"/>
        <v>2.2</v>
      </c>
      <c r="M32" s="238">
        <v>46</v>
      </c>
      <c r="N32" s="30">
        <f t="shared" si="6"/>
        <v>1.84</v>
      </c>
      <c r="O32" s="232">
        <v>42</v>
      </c>
      <c r="P32" s="30">
        <f t="shared" si="7"/>
        <v>1.68</v>
      </c>
      <c r="Q32" s="232">
        <v>41</v>
      </c>
      <c r="R32" s="30">
        <f t="shared" si="8"/>
        <v>1.64</v>
      </c>
      <c r="S32" s="232">
        <v>59.5</v>
      </c>
      <c r="T32" s="30">
        <f t="shared" si="9"/>
        <v>2.38</v>
      </c>
      <c r="U32" s="232">
        <v>55</v>
      </c>
      <c r="V32" s="30">
        <f t="shared" si="10"/>
        <v>2.2</v>
      </c>
      <c r="W32" s="238">
        <v>48</v>
      </c>
      <c r="X32" s="30">
        <f t="shared" si="11"/>
        <v>1.92</v>
      </c>
      <c r="Y32" s="37">
        <f t="shared" si="0"/>
        <v>484.5</v>
      </c>
      <c r="Z32" s="30">
        <f t="shared" si="12"/>
        <v>19.38</v>
      </c>
      <c r="AA32" s="61">
        <f t="shared" si="1"/>
        <v>2422.5</v>
      </c>
    </row>
    <row r="33" spans="1:27" ht="15">
      <c r="A33" s="33">
        <v>31</v>
      </c>
      <c r="B33" s="31" t="str">
        <f>завтрак!B33</f>
        <v>Крупа гречневая, в инд. уп.</v>
      </c>
      <c r="C33" s="32" t="str">
        <f>завтрак!C33</f>
        <v>кг</v>
      </c>
      <c r="D33" s="46">
        <f>завтрак!D33</f>
        <v>85</v>
      </c>
      <c r="E33" s="232"/>
      <c r="F33" s="30">
        <f t="shared" si="2"/>
        <v>0</v>
      </c>
      <c r="G33" s="232"/>
      <c r="H33" s="30">
        <f t="shared" si="3"/>
        <v>0</v>
      </c>
      <c r="I33" s="232"/>
      <c r="J33" s="30">
        <f t="shared" si="4"/>
        <v>0</v>
      </c>
      <c r="K33" s="232"/>
      <c r="L33" s="30">
        <f t="shared" si="5"/>
        <v>0</v>
      </c>
      <c r="M33" s="238"/>
      <c r="N33" s="30">
        <f t="shared" si="6"/>
        <v>0</v>
      </c>
      <c r="O33" s="232"/>
      <c r="P33" s="30">
        <f t="shared" si="7"/>
        <v>0</v>
      </c>
      <c r="Q33" s="232"/>
      <c r="R33" s="30">
        <f t="shared" si="8"/>
        <v>0</v>
      </c>
      <c r="S33" s="232"/>
      <c r="T33" s="30">
        <f t="shared" si="9"/>
        <v>0</v>
      </c>
      <c r="U33" s="232"/>
      <c r="V33" s="30">
        <f t="shared" si="10"/>
        <v>0</v>
      </c>
      <c r="W33" s="238"/>
      <c r="X33" s="30">
        <f t="shared" si="11"/>
        <v>0</v>
      </c>
      <c r="Y33" s="37">
        <f t="shared" si="0"/>
        <v>0</v>
      </c>
      <c r="Z33" s="30">
        <f t="shared" si="12"/>
        <v>0</v>
      </c>
      <c r="AA33" s="61">
        <f t="shared" si="1"/>
        <v>0</v>
      </c>
    </row>
    <row r="34" spans="1:27" ht="30">
      <c r="A34" s="33">
        <v>32</v>
      </c>
      <c r="B34" s="31" t="str">
        <f>завтрак!B34</f>
        <v>Крупа манная (1 сорт), в инд. уп.</v>
      </c>
      <c r="C34" s="32" t="str">
        <f>завтрак!C34</f>
        <v>кг</v>
      </c>
      <c r="D34" s="46">
        <f>завтрак!D34</f>
        <v>58</v>
      </c>
      <c r="E34" s="232"/>
      <c r="F34" s="30">
        <f t="shared" si="2"/>
        <v>0</v>
      </c>
      <c r="G34" s="232"/>
      <c r="H34" s="30">
        <f t="shared" si="3"/>
        <v>0</v>
      </c>
      <c r="I34" s="232"/>
      <c r="J34" s="30">
        <f t="shared" si="4"/>
        <v>0</v>
      </c>
      <c r="K34" s="232"/>
      <c r="L34" s="30">
        <f t="shared" si="5"/>
        <v>0</v>
      </c>
      <c r="M34" s="238"/>
      <c r="N34" s="30">
        <f t="shared" si="6"/>
        <v>0</v>
      </c>
      <c r="O34" s="232"/>
      <c r="P34" s="30">
        <f t="shared" si="7"/>
        <v>0</v>
      </c>
      <c r="Q34" s="232"/>
      <c r="R34" s="30">
        <f t="shared" si="8"/>
        <v>0</v>
      </c>
      <c r="S34" s="232"/>
      <c r="T34" s="30">
        <f t="shared" si="9"/>
        <v>0</v>
      </c>
      <c r="U34" s="232"/>
      <c r="V34" s="30">
        <f t="shared" si="10"/>
        <v>0</v>
      </c>
      <c r="W34" s="238"/>
      <c r="X34" s="30">
        <f t="shared" si="11"/>
        <v>0</v>
      </c>
      <c r="Y34" s="37">
        <f t="shared" si="0"/>
        <v>0</v>
      </c>
      <c r="Z34" s="30">
        <f t="shared" si="12"/>
        <v>0</v>
      </c>
      <c r="AA34" s="61">
        <f t="shared" si="1"/>
        <v>0</v>
      </c>
    </row>
    <row r="35" spans="1:27" ht="15">
      <c r="A35" s="33">
        <v>33</v>
      </c>
      <c r="B35" s="31" t="str">
        <f>завтрак!B35</f>
        <v>Рис (1 сорт), в инд. уп.</v>
      </c>
      <c r="C35" s="32" t="str">
        <f>завтрак!C35</f>
        <v>кг</v>
      </c>
      <c r="D35" s="46">
        <f>завтрак!D35</f>
        <v>116</v>
      </c>
      <c r="E35" s="232"/>
      <c r="F35" s="30">
        <f t="shared" si="2"/>
        <v>0</v>
      </c>
      <c r="G35" s="232"/>
      <c r="H35" s="30">
        <f t="shared" si="3"/>
        <v>0</v>
      </c>
      <c r="I35" s="232"/>
      <c r="J35" s="30">
        <f t="shared" si="4"/>
        <v>0</v>
      </c>
      <c r="K35" s="232"/>
      <c r="L35" s="30">
        <f t="shared" si="5"/>
        <v>0</v>
      </c>
      <c r="M35" s="238"/>
      <c r="N35" s="30">
        <f t="shared" si="6"/>
        <v>0</v>
      </c>
      <c r="O35" s="232"/>
      <c r="P35" s="30">
        <f t="shared" si="7"/>
        <v>0</v>
      </c>
      <c r="Q35" s="232"/>
      <c r="R35" s="30">
        <f t="shared" si="8"/>
        <v>0</v>
      </c>
      <c r="S35" s="232"/>
      <c r="T35" s="30">
        <f t="shared" si="9"/>
        <v>0</v>
      </c>
      <c r="U35" s="232"/>
      <c r="V35" s="30">
        <f t="shared" si="10"/>
        <v>0</v>
      </c>
      <c r="W35" s="238"/>
      <c r="X35" s="30">
        <f t="shared" si="11"/>
        <v>0</v>
      </c>
      <c r="Y35" s="37">
        <f t="shared" si="0"/>
        <v>0</v>
      </c>
      <c r="Z35" s="30">
        <f t="shared" si="12"/>
        <v>0</v>
      </c>
      <c r="AA35" s="61">
        <f t="shared" si="1"/>
        <v>0</v>
      </c>
    </row>
    <row r="36" spans="1:27" ht="30">
      <c r="A36" s="33">
        <v>34</v>
      </c>
      <c r="B36" s="31" t="str">
        <f>завтрак!B36</f>
        <v>Крупа пшеничная (1 сорт), в инд уп.</v>
      </c>
      <c r="C36" s="32" t="str">
        <f>завтрак!C36</f>
        <v>кг</v>
      </c>
      <c r="D36" s="46">
        <f>завтрак!D36</f>
        <v>58</v>
      </c>
      <c r="E36" s="232"/>
      <c r="F36" s="30">
        <f t="shared" si="2"/>
        <v>0</v>
      </c>
      <c r="G36" s="232"/>
      <c r="H36" s="30">
        <f t="shared" si="3"/>
        <v>0</v>
      </c>
      <c r="I36" s="232"/>
      <c r="J36" s="30">
        <f t="shared" si="4"/>
        <v>0</v>
      </c>
      <c r="K36" s="232"/>
      <c r="L36" s="30">
        <f t="shared" si="5"/>
        <v>0</v>
      </c>
      <c r="M36" s="238"/>
      <c r="N36" s="30">
        <f t="shared" si="6"/>
        <v>0</v>
      </c>
      <c r="O36" s="232"/>
      <c r="P36" s="30">
        <f t="shared" si="7"/>
        <v>0</v>
      </c>
      <c r="Q36" s="232"/>
      <c r="R36" s="30">
        <f t="shared" si="8"/>
        <v>0</v>
      </c>
      <c r="S36" s="232"/>
      <c r="T36" s="30">
        <f t="shared" si="9"/>
        <v>0</v>
      </c>
      <c r="U36" s="232"/>
      <c r="V36" s="30">
        <f t="shared" si="10"/>
        <v>0</v>
      </c>
      <c r="W36" s="238"/>
      <c r="X36" s="30">
        <f t="shared" si="11"/>
        <v>0</v>
      </c>
      <c r="Y36" s="37">
        <f t="shared" si="0"/>
        <v>0</v>
      </c>
      <c r="Z36" s="30">
        <f t="shared" si="12"/>
        <v>0</v>
      </c>
      <c r="AA36" s="61">
        <f t="shared" si="1"/>
        <v>0</v>
      </c>
    </row>
    <row r="37" spans="1:27" ht="15">
      <c r="A37" s="33">
        <v>35</v>
      </c>
      <c r="B37" s="31" t="str">
        <f>завтрак!B37</f>
        <v>Пшено (1 сорт), в инд. уп.</v>
      </c>
      <c r="C37" s="32" t="str">
        <f>завтрак!C37</f>
        <v>кг</v>
      </c>
      <c r="D37" s="46">
        <f>завтрак!D37</f>
        <v>57</v>
      </c>
      <c r="E37" s="232"/>
      <c r="F37" s="30">
        <f t="shared" si="2"/>
        <v>0</v>
      </c>
      <c r="G37" s="232"/>
      <c r="H37" s="30">
        <f t="shared" si="3"/>
        <v>0</v>
      </c>
      <c r="I37" s="232"/>
      <c r="J37" s="30">
        <f t="shared" si="4"/>
        <v>0</v>
      </c>
      <c r="K37" s="232"/>
      <c r="L37" s="30">
        <f t="shared" si="5"/>
        <v>0</v>
      </c>
      <c r="M37" s="238"/>
      <c r="N37" s="30">
        <f t="shared" si="6"/>
        <v>0</v>
      </c>
      <c r="O37" s="232"/>
      <c r="P37" s="30">
        <f t="shared" si="7"/>
        <v>0</v>
      </c>
      <c r="Q37" s="232"/>
      <c r="R37" s="30">
        <f t="shared" si="8"/>
        <v>0</v>
      </c>
      <c r="S37" s="232"/>
      <c r="T37" s="30">
        <f t="shared" si="9"/>
        <v>0</v>
      </c>
      <c r="U37" s="232"/>
      <c r="V37" s="30">
        <f t="shared" si="10"/>
        <v>0</v>
      </c>
      <c r="W37" s="238"/>
      <c r="X37" s="30">
        <f t="shared" si="11"/>
        <v>0</v>
      </c>
      <c r="Y37" s="37">
        <f t="shared" si="0"/>
        <v>0</v>
      </c>
      <c r="Z37" s="30">
        <f t="shared" si="12"/>
        <v>0</v>
      </c>
      <c r="AA37" s="61">
        <f t="shared" si="1"/>
        <v>0</v>
      </c>
    </row>
    <row r="38" spans="1:27" ht="15">
      <c r="A38" s="33">
        <v>36</v>
      </c>
      <c r="B38" s="31" t="str">
        <f>завтрак!B38</f>
        <v>Горох шлифованный, в инд. уп.</v>
      </c>
      <c r="C38" s="32" t="str">
        <f>завтрак!C38</f>
        <v>кг</v>
      </c>
      <c r="D38" s="46">
        <f>завтрак!D38</f>
        <v>54</v>
      </c>
      <c r="E38" s="232"/>
      <c r="F38" s="30">
        <f t="shared" si="2"/>
        <v>0</v>
      </c>
      <c r="G38" s="232"/>
      <c r="H38" s="30">
        <f t="shared" si="3"/>
        <v>0</v>
      </c>
      <c r="I38" s="232"/>
      <c r="J38" s="30">
        <f t="shared" si="4"/>
        <v>0</v>
      </c>
      <c r="K38" s="232"/>
      <c r="L38" s="30">
        <f t="shared" si="5"/>
        <v>0</v>
      </c>
      <c r="M38" s="238"/>
      <c r="N38" s="30">
        <f t="shared" si="6"/>
        <v>0</v>
      </c>
      <c r="O38" s="232"/>
      <c r="P38" s="30">
        <f t="shared" si="7"/>
        <v>0</v>
      </c>
      <c r="Q38" s="232"/>
      <c r="R38" s="30">
        <f t="shared" si="8"/>
        <v>0</v>
      </c>
      <c r="S38" s="232"/>
      <c r="T38" s="30">
        <f t="shared" si="9"/>
        <v>0</v>
      </c>
      <c r="U38" s="232"/>
      <c r="V38" s="30">
        <f t="shared" si="10"/>
        <v>0</v>
      </c>
      <c r="W38" s="238"/>
      <c r="X38" s="30">
        <f t="shared" si="11"/>
        <v>0</v>
      </c>
      <c r="Y38" s="37">
        <f t="shared" si="0"/>
        <v>0</v>
      </c>
      <c r="Z38" s="30">
        <f t="shared" si="12"/>
        <v>0</v>
      </c>
      <c r="AA38" s="61">
        <f t="shared" si="1"/>
        <v>0</v>
      </c>
    </row>
    <row r="39" spans="1:27" ht="15">
      <c r="A39" s="33">
        <v>37</v>
      </c>
      <c r="B39" s="31" t="str">
        <f>завтрак!B39</f>
        <v>Крупа перловая, в инд. уп.</v>
      </c>
      <c r="C39" s="32" t="str">
        <f>завтрак!C39</f>
        <v>кг</v>
      </c>
      <c r="D39" s="46">
        <f>завтрак!D39</f>
        <v>48</v>
      </c>
      <c r="E39" s="232"/>
      <c r="F39" s="30">
        <f t="shared" si="2"/>
        <v>0</v>
      </c>
      <c r="G39" s="232"/>
      <c r="H39" s="30">
        <f t="shared" si="3"/>
        <v>0</v>
      </c>
      <c r="I39" s="232"/>
      <c r="J39" s="30">
        <f t="shared" si="4"/>
        <v>0</v>
      </c>
      <c r="K39" s="232"/>
      <c r="L39" s="30">
        <f t="shared" si="5"/>
        <v>0</v>
      </c>
      <c r="M39" s="238"/>
      <c r="N39" s="30">
        <f t="shared" si="6"/>
        <v>0</v>
      </c>
      <c r="O39" s="232"/>
      <c r="P39" s="30">
        <f t="shared" si="7"/>
        <v>0</v>
      </c>
      <c r="Q39" s="232"/>
      <c r="R39" s="30">
        <f t="shared" si="8"/>
        <v>0</v>
      </c>
      <c r="S39" s="232"/>
      <c r="T39" s="30">
        <f t="shared" si="9"/>
        <v>0</v>
      </c>
      <c r="U39" s="232"/>
      <c r="V39" s="30">
        <f t="shared" si="10"/>
        <v>0</v>
      </c>
      <c r="W39" s="238"/>
      <c r="X39" s="30">
        <f t="shared" si="11"/>
        <v>0</v>
      </c>
      <c r="Y39" s="37">
        <f t="shared" si="0"/>
        <v>0</v>
      </c>
      <c r="Z39" s="30">
        <f t="shared" si="12"/>
        <v>0</v>
      </c>
      <c r="AA39" s="61">
        <f t="shared" si="1"/>
        <v>0</v>
      </c>
    </row>
    <row r="40" spans="1:27" ht="15">
      <c r="A40" s="33">
        <v>38</v>
      </c>
      <c r="B40" s="31" t="str">
        <f>завтрак!B40</f>
        <v>Крупа ячневая, в инд. уп.</v>
      </c>
      <c r="C40" s="32" t="str">
        <f>завтрак!C40</f>
        <v>кг</v>
      </c>
      <c r="D40" s="46">
        <f>завтрак!D40</f>
        <v>48</v>
      </c>
      <c r="E40" s="232"/>
      <c r="F40" s="30">
        <f t="shared" si="2"/>
        <v>0</v>
      </c>
      <c r="G40" s="232"/>
      <c r="H40" s="30">
        <f t="shared" si="3"/>
        <v>0</v>
      </c>
      <c r="I40" s="232"/>
      <c r="J40" s="30">
        <f t="shared" si="4"/>
        <v>0</v>
      </c>
      <c r="K40" s="232"/>
      <c r="L40" s="30">
        <f t="shared" si="5"/>
        <v>0</v>
      </c>
      <c r="M40" s="238"/>
      <c r="N40" s="30">
        <f t="shared" si="6"/>
        <v>0</v>
      </c>
      <c r="O40" s="232"/>
      <c r="P40" s="30">
        <f t="shared" si="7"/>
        <v>0</v>
      </c>
      <c r="Q40" s="232"/>
      <c r="R40" s="30">
        <f t="shared" si="8"/>
        <v>0</v>
      </c>
      <c r="S40" s="232"/>
      <c r="T40" s="30">
        <f t="shared" si="9"/>
        <v>0</v>
      </c>
      <c r="U40" s="232"/>
      <c r="V40" s="30">
        <f t="shared" si="10"/>
        <v>0</v>
      </c>
      <c r="W40" s="238"/>
      <c r="X40" s="30">
        <f t="shared" si="11"/>
        <v>0</v>
      </c>
      <c r="Y40" s="37">
        <f t="shared" si="0"/>
        <v>0</v>
      </c>
      <c r="Z40" s="30">
        <f t="shared" si="12"/>
        <v>0</v>
      </c>
      <c r="AA40" s="61">
        <f t="shared" si="1"/>
        <v>0</v>
      </c>
    </row>
    <row r="41" spans="1:27" ht="15">
      <c r="A41" s="33">
        <v>39</v>
      </c>
      <c r="B41" s="31" t="str">
        <f>завтрак!B41</f>
        <v>Хлопья "Геркулес", в инд. уп.</v>
      </c>
      <c r="C41" s="32" t="str">
        <f>завтрак!C41</f>
        <v>кг</v>
      </c>
      <c r="D41" s="46">
        <f>завтрак!D41</f>
        <v>76</v>
      </c>
      <c r="E41" s="232"/>
      <c r="F41" s="30">
        <f t="shared" si="2"/>
        <v>0</v>
      </c>
      <c r="G41" s="232"/>
      <c r="H41" s="30">
        <f t="shared" si="3"/>
        <v>0</v>
      </c>
      <c r="I41" s="232"/>
      <c r="J41" s="30">
        <f t="shared" si="4"/>
        <v>0</v>
      </c>
      <c r="K41" s="232"/>
      <c r="L41" s="30">
        <f t="shared" si="5"/>
        <v>0</v>
      </c>
      <c r="M41" s="238"/>
      <c r="N41" s="30">
        <f t="shared" si="6"/>
        <v>0</v>
      </c>
      <c r="O41" s="232"/>
      <c r="P41" s="30">
        <f t="shared" si="7"/>
        <v>0</v>
      </c>
      <c r="Q41" s="232"/>
      <c r="R41" s="30">
        <f t="shared" si="8"/>
        <v>0</v>
      </c>
      <c r="S41" s="232"/>
      <c r="T41" s="30">
        <f t="shared" si="9"/>
        <v>0</v>
      </c>
      <c r="U41" s="232"/>
      <c r="V41" s="30">
        <f t="shared" si="10"/>
        <v>0</v>
      </c>
      <c r="W41" s="238"/>
      <c r="X41" s="30">
        <f t="shared" si="11"/>
        <v>0</v>
      </c>
      <c r="Y41" s="37">
        <f t="shared" si="0"/>
        <v>0</v>
      </c>
      <c r="Z41" s="30">
        <f t="shared" si="12"/>
        <v>0</v>
      </c>
      <c r="AA41" s="61">
        <f t="shared" si="1"/>
        <v>0</v>
      </c>
    </row>
    <row r="42" spans="1:27" ht="15">
      <c r="A42" s="33">
        <v>40</v>
      </c>
      <c r="B42" s="31" t="str">
        <f>завтрак!B42</f>
        <v>Сахар-песок</v>
      </c>
      <c r="C42" s="32" t="str">
        <f>завтрак!C42</f>
        <v>кг</v>
      </c>
      <c r="D42" s="46">
        <f>завтрак!D42</f>
        <v>85</v>
      </c>
      <c r="E42" s="232">
        <f>2.5</f>
        <v>2.5</v>
      </c>
      <c r="F42" s="30">
        <f t="shared" si="2"/>
        <v>0.21</v>
      </c>
      <c r="G42" s="232">
        <f>1+0.5</f>
        <v>1.5</v>
      </c>
      <c r="H42" s="30">
        <f t="shared" si="3"/>
        <v>0.13</v>
      </c>
      <c r="I42" s="232">
        <v>2</v>
      </c>
      <c r="J42" s="30">
        <f t="shared" si="4"/>
        <v>0.17</v>
      </c>
      <c r="K42" s="232">
        <v>2.5</v>
      </c>
      <c r="L42" s="30">
        <f t="shared" si="5"/>
        <v>0.21</v>
      </c>
      <c r="M42" s="238">
        <v>4.5</v>
      </c>
      <c r="N42" s="30">
        <f t="shared" si="6"/>
        <v>0.38</v>
      </c>
      <c r="O42" s="232">
        <v>2.5</v>
      </c>
      <c r="P42" s="30">
        <f t="shared" si="7"/>
        <v>0.21</v>
      </c>
      <c r="Q42" s="232">
        <v>2</v>
      </c>
      <c r="R42" s="30">
        <f t="shared" si="8"/>
        <v>0.17</v>
      </c>
      <c r="S42" s="232">
        <v>4</v>
      </c>
      <c r="T42" s="30">
        <f t="shared" si="9"/>
        <v>0.34</v>
      </c>
      <c r="U42" s="232">
        <v>2.5</v>
      </c>
      <c r="V42" s="30">
        <f t="shared" si="10"/>
        <v>0.21</v>
      </c>
      <c r="W42" s="238">
        <v>0.5</v>
      </c>
      <c r="X42" s="30">
        <f t="shared" si="11"/>
        <v>0.04</v>
      </c>
      <c r="Y42" s="37">
        <f t="shared" si="0"/>
        <v>24.5</v>
      </c>
      <c r="Z42" s="30">
        <f t="shared" si="12"/>
        <v>2.08</v>
      </c>
      <c r="AA42" s="61">
        <f t="shared" si="1"/>
        <v>122.5</v>
      </c>
    </row>
    <row r="43" spans="1:27" ht="15">
      <c r="A43" s="33">
        <v>41</v>
      </c>
      <c r="B43" s="31" t="str">
        <f>завтрак!B43</f>
        <v>Макароны (высший сорт)</v>
      </c>
      <c r="C43" s="32" t="str">
        <f>завтрак!C43</f>
        <v>кг</v>
      </c>
      <c r="D43" s="46">
        <f>завтрак!D43</f>
        <v>46</v>
      </c>
      <c r="E43" s="232"/>
      <c r="F43" s="30">
        <f t="shared" si="2"/>
        <v>0</v>
      </c>
      <c r="G43" s="232"/>
      <c r="H43" s="30">
        <f t="shared" si="3"/>
        <v>0</v>
      </c>
      <c r="I43" s="232"/>
      <c r="J43" s="30">
        <f t="shared" si="4"/>
        <v>0</v>
      </c>
      <c r="K43" s="232"/>
      <c r="L43" s="30">
        <f t="shared" si="5"/>
        <v>0</v>
      </c>
      <c r="M43" s="238"/>
      <c r="N43" s="30">
        <f t="shared" si="6"/>
        <v>0</v>
      </c>
      <c r="O43" s="232"/>
      <c r="P43" s="30">
        <f t="shared" si="7"/>
        <v>0</v>
      </c>
      <c r="Q43" s="232"/>
      <c r="R43" s="30">
        <f t="shared" si="8"/>
        <v>0</v>
      </c>
      <c r="S43" s="232"/>
      <c r="T43" s="30">
        <f t="shared" si="9"/>
        <v>0</v>
      </c>
      <c r="U43" s="232"/>
      <c r="V43" s="30">
        <f t="shared" si="10"/>
        <v>0</v>
      </c>
      <c r="W43" s="238"/>
      <c r="X43" s="30">
        <f t="shared" si="11"/>
        <v>0</v>
      </c>
      <c r="Y43" s="37">
        <f t="shared" si="0"/>
        <v>0</v>
      </c>
      <c r="Z43" s="30">
        <f t="shared" si="12"/>
        <v>0</v>
      </c>
      <c r="AA43" s="61">
        <f t="shared" si="1"/>
        <v>0</v>
      </c>
    </row>
    <row r="44" spans="1:27" ht="15">
      <c r="A44" s="33">
        <v>42</v>
      </c>
      <c r="B44" s="31" t="str">
        <f>завтрак!B44</f>
        <v>Вермишель (высший сорт)</v>
      </c>
      <c r="C44" s="32" t="str">
        <f>завтрак!C44</f>
        <v>кг</v>
      </c>
      <c r="D44" s="46">
        <f>завтрак!D44</f>
        <v>47</v>
      </c>
      <c r="E44" s="232"/>
      <c r="F44" s="30">
        <f t="shared" si="2"/>
        <v>0</v>
      </c>
      <c r="G44" s="232"/>
      <c r="H44" s="30">
        <f t="shared" si="3"/>
        <v>0</v>
      </c>
      <c r="I44" s="232"/>
      <c r="J44" s="30">
        <f t="shared" si="4"/>
        <v>0</v>
      </c>
      <c r="K44" s="232"/>
      <c r="L44" s="30">
        <f t="shared" si="5"/>
        <v>0</v>
      </c>
      <c r="M44" s="238"/>
      <c r="N44" s="30">
        <f t="shared" si="6"/>
        <v>0</v>
      </c>
      <c r="O44" s="232"/>
      <c r="P44" s="30">
        <f t="shared" si="7"/>
        <v>0</v>
      </c>
      <c r="Q44" s="232"/>
      <c r="R44" s="30">
        <f t="shared" si="8"/>
        <v>0</v>
      </c>
      <c r="S44" s="232"/>
      <c r="T44" s="30">
        <f t="shared" si="9"/>
        <v>0</v>
      </c>
      <c r="U44" s="232"/>
      <c r="V44" s="30">
        <f t="shared" si="10"/>
        <v>0</v>
      </c>
      <c r="W44" s="238"/>
      <c r="X44" s="30">
        <f t="shared" si="11"/>
        <v>0</v>
      </c>
      <c r="Y44" s="37">
        <f t="shared" si="0"/>
        <v>0</v>
      </c>
      <c r="Z44" s="30">
        <f t="shared" si="12"/>
        <v>0</v>
      </c>
      <c r="AA44" s="61">
        <f t="shared" si="1"/>
        <v>0</v>
      </c>
    </row>
    <row r="45" spans="1:27" ht="15">
      <c r="A45" s="33">
        <v>43</v>
      </c>
      <c r="B45" s="31" t="str">
        <f>завтрак!B45</f>
        <v>Дрожжи сухие</v>
      </c>
      <c r="C45" s="32" t="str">
        <f>завтрак!C45</f>
        <v>кг</v>
      </c>
      <c r="D45" s="46">
        <f>завтрак!D45</f>
        <v>377</v>
      </c>
      <c r="E45" s="232">
        <v>0.5</v>
      </c>
      <c r="F45" s="30">
        <f t="shared" si="2"/>
        <v>0.19</v>
      </c>
      <c r="G45" s="232">
        <v>0.5</v>
      </c>
      <c r="H45" s="30">
        <f t="shared" si="3"/>
        <v>0.19</v>
      </c>
      <c r="I45" s="232">
        <v>0.4</v>
      </c>
      <c r="J45" s="30">
        <f t="shared" si="4"/>
        <v>0.15</v>
      </c>
      <c r="K45" s="232"/>
      <c r="L45" s="30">
        <f t="shared" si="5"/>
        <v>0</v>
      </c>
      <c r="M45" s="238">
        <v>0.9</v>
      </c>
      <c r="N45" s="30">
        <f t="shared" si="6"/>
        <v>0.34</v>
      </c>
      <c r="O45" s="232">
        <v>0.5</v>
      </c>
      <c r="P45" s="30">
        <f t="shared" si="7"/>
        <v>0.19</v>
      </c>
      <c r="Q45" s="232">
        <v>0.4</v>
      </c>
      <c r="R45" s="30">
        <f t="shared" si="8"/>
        <v>0.15</v>
      </c>
      <c r="S45" s="232">
        <v>0.8</v>
      </c>
      <c r="T45" s="30">
        <f t="shared" si="9"/>
        <v>0.3</v>
      </c>
      <c r="U45" s="232"/>
      <c r="V45" s="30">
        <f t="shared" si="10"/>
        <v>0</v>
      </c>
      <c r="W45" s="238">
        <v>0.35</v>
      </c>
      <c r="X45" s="30">
        <f t="shared" si="11"/>
        <v>0.13</v>
      </c>
      <c r="Y45" s="37">
        <f t="shared" si="0"/>
        <v>4.35</v>
      </c>
      <c r="Z45" s="30">
        <f t="shared" si="12"/>
        <v>1.64</v>
      </c>
      <c r="AA45" s="61">
        <f t="shared" si="1"/>
        <v>21.75</v>
      </c>
    </row>
    <row r="46" spans="1:27" ht="15">
      <c r="A46" s="33">
        <v>44</v>
      </c>
      <c r="B46" s="31" t="str">
        <f>завтрак!B46</f>
        <v>Соль йодированная</v>
      </c>
      <c r="C46" s="32" t="str">
        <f>завтрак!C46</f>
        <v>кг</v>
      </c>
      <c r="D46" s="46">
        <f>завтрак!D46</f>
        <v>27</v>
      </c>
      <c r="E46" s="232">
        <v>0.5</v>
      </c>
      <c r="F46" s="30">
        <f t="shared" si="2"/>
        <v>0.01</v>
      </c>
      <c r="G46" s="232"/>
      <c r="H46" s="30">
        <f t="shared" si="3"/>
        <v>0</v>
      </c>
      <c r="I46" s="232">
        <v>0.7</v>
      </c>
      <c r="J46" s="30">
        <f t="shared" si="4"/>
        <v>0.02</v>
      </c>
      <c r="K46" s="232"/>
      <c r="L46" s="30">
        <f t="shared" si="5"/>
        <v>0</v>
      </c>
      <c r="M46" s="238"/>
      <c r="N46" s="30">
        <f t="shared" si="6"/>
        <v>0</v>
      </c>
      <c r="O46" s="232">
        <v>0.5</v>
      </c>
      <c r="P46" s="30">
        <f t="shared" si="7"/>
        <v>0.01</v>
      </c>
      <c r="Q46" s="232">
        <v>0.7</v>
      </c>
      <c r="R46" s="30">
        <f t="shared" si="8"/>
        <v>0.02</v>
      </c>
      <c r="S46" s="232"/>
      <c r="T46" s="30">
        <f t="shared" si="9"/>
        <v>0</v>
      </c>
      <c r="U46" s="232"/>
      <c r="V46" s="30">
        <f t="shared" si="10"/>
        <v>0</v>
      </c>
      <c r="W46" s="238"/>
      <c r="X46" s="30">
        <f t="shared" si="11"/>
        <v>0</v>
      </c>
      <c r="Y46" s="37">
        <f t="shared" si="0"/>
        <v>2.4</v>
      </c>
      <c r="Z46" s="30">
        <f t="shared" si="12"/>
        <v>0.06</v>
      </c>
      <c r="AA46" s="61">
        <f t="shared" si="1"/>
        <v>12</v>
      </c>
    </row>
    <row r="47" spans="1:27" ht="15" customHeight="1">
      <c r="A47" s="33">
        <v>45</v>
      </c>
      <c r="B47" s="31">
        <f>завтрак!B47</f>
        <v>0</v>
      </c>
      <c r="C47" s="32">
        <f>завтрак!C47</f>
        <v>0</v>
      </c>
      <c r="D47" s="46">
        <f>завтрак!D47</f>
        <v>0</v>
      </c>
      <c r="E47" s="232"/>
      <c r="F47" s="30">
        <f t="shared" si="2"/>
        <v>0</v>
      </c>
      <c r="G47" s="232"/>
      <c r="H47" s="30">
        <f t="shared" si="3"/>
        <v>0</v>
      </c>
      <c r="I47" s="232"/>
      <c r="J47" s="30">
        <f t="shared" si="4"/>
        <v>0</v>
      </c>
      <c r="K47" s="232"/>
      <c r="L47" s="30">
        <f t="shared" si="5"/>
        <v>0</v>
      </c>
      <c r="M47" s="238"/>
      <c r="N47" s="30">
        <f t="shared" si="6"/>
        <v>0</v>
      </c>
      <c r="O47" s="232"/>
      <c r="P47" s="30">
        <f t="shared" si="7"/>
        <v>0</v>
      </c>
      <c r="Q47" s="232"/>
      <c r="R47" s="30">
        <f t="shared" si="8"/>
        <v>0</v>
      </c>
      <c r="S47" s="232"/>
      <c r="T47" s="30">
        <f t="shared" si="9"/>
        <v>0</v>
      </c>
      <c r="U47" s="232"/>
      <c r="V47" s="30">
        <f t="shared" si="10"/>
        <v>0</v>
      </c>
      <c r="W47" s="238"/>
      <c r="X47" s="30">
        <f t="shared" si="11"/>
        <v>0</v>
      </c>
      <c r="Y47" s="37">
        <f t="shared" si="0"/>
        <v>0</v>
      </c>
      <c r="Z47" s="30">
        <f t="shared" si="12"/>
        <v>0</v>
      </c>
      <c r="AA47" s="61">
        <f t="shared" si="1"/>
        <v>0</v>
      </c>
    </row>
    <row r="48" spans="1:27" ht="15" customHeight="1">
      <c r="A48" s="33">
        <v>46</v>
      </c>
      <c r="B48" s="31" t="str">
        <f>завтрак!B48</f>
        <v>Кофейный напиток (ячменный)</v>
      </c>
      <c r="C48" s="32" t="str">
        <f>завтрак!C48</f>
        <v>кг</v>
      </c>
      <c r="D48" s="46">
        <f>завтрак!D48</f>
        <v>467</v>
      </c>
      <c r="E48" s="232"/>
      <c r="F48" s="30">
        <f t="shared" si="2"/>
        <v>0</v>
      </c>
      <c r="G48" s="232"/>
      <c r="H48" s="30">
        <f t="shared" si="3"/>
        <v>0</v>
      </c>
      <c r="I48" s="232"/>
      <c r="J48" s="30">
        <f t="shared" si="4"/>
        <v>0</v>
      </c>
      <c r="K48" s="232"/>
      <c r="L48" s="30">
        <f t="shared" si="5"/>
        <v>0</v>
      </c>
      <c r="M48" s="238"/>
      <c r="N48" s="30">
        <f t="shared" si="6"/>
        <v>0</v>
      </c>
      <c r="O48" s="232"/>
      <c r="P48" s="30">
        <f t="shared" si="7"/>
        <v>0</v>
      </c>
      <c r="Q48" s="232"/>
      <c r="R48" s="30">
        <f t="shared" si="8"/>
        <v>0</v>
      </c>
      <c r="S48" s="232"/>
      <c r="T48" s="30">
        <f t="shared" si="9"/>
        <v>0</v>
      </c>
      <c r="U48" s="232"/>
      <c r="V48" s="30">
        <f t="shared" si="10"/>
        <v>0</v>
      </c>
      <c r="W48" s="238"/>
      <c r="X48" s="30">
        <f t="shared" si="11"/>
        <v>0</v>
      </c>
      <c r="Y48" s="37">
        <f t="shared" si="0"/>
        <v>0</v>
      </c>
      <c r="Z48" s="30">
        <f t="shared" si="12"/>
        <v>0</v>
      </c>
      <c r="AA48" s="61">
        <f t="shared" si="1"/>
        <v>0</v>
      </c>
    </row>
    <row r="49" spans="1:27" ht="15">
      <c r="A49" s="33">
        <v>47</v>
      </c>
      <c r="B49" s="31" t="str">
        <f>завтрак!B49</f>
        <v>Какао порошок</v>
      </c>
      <c r="C49" s="32" t="str">
        <f>завтрак!C49</f>
        <v>кг</v>
      </c>
      <c r="D49" s="46">
        <f>завтрак!D49</f>
        <v>403</v>
      </c>
      <c r="E49" s="232"/>
      <c r="F49" s="30">
        <f t="shared" si="2"/>
        <v>0</v>
      </c>
      <c r="G49" s="232"/>
      <c r="H49" s="30">
        <f t="shared" si="3"/>
        <v>0</v>
      </c>
      <c r="I49" s="232"/>
      <c r="J49" s="30">
        <f t="shared" si="4"/>
        <v>0</v>
      </c>
      <c r="K49" s="232"/>
      <c r="L49" s="30">
        <f t="shared" si="5"/>
        <v>0</v>
      </c>
      <c r="M49" s="238"/>
      <c r="N49" s="30">
        <f t="shared" si="6"/>
        <v>0</v>
      </c>
      <c r="O49" s="232"/>
      <c r="P49" s="30">
        <f t="shared" si="7"/>
        <v>0</v>
      </c>
      <c r="Q49" s="232"/>
      <c r="R49" s="30">
        <f t="shared" si="8"/>
        <v>0</v>
      </c>
      <c r="S49" s="232"/>
      <c r="T49" s="30">
        <f t="shared" si="9"/>
        <v>0</v>
      </c>
      <c r="U49" s="232"/>
      <c r="V49" s="30">
        <f t="shared" si="10"/>
        <v>0</v>
      </c>
      <c r="W49" s="238"/>
      <c r="X49" s="30">
        <f t="shared" si="11"/>
        <v>0</v>
      </c>
      <c r="Y49" s="37">
        <f t="shared" si="0"/>
        <v>0</v>
      </c>
      <c r="Z49" s="30">
        <f t="shared" si="12"/>
        <v>0</v>
      </c>
      <c r="AA49" s="61">
        <f t="shared" si="1"/>
        <v>0</v>
      </c>
    </row>
    <row r="50" spans="1:27" ht="15">
      <c r="A50" s="33">
        <v>48</v>
      </c>
      <c r="B50" s="31" t="str">
        <f>завтрак!B50</f>
        <v>Чай черный (1 сорт)</v>
      </c>
      <c r="C50" s="32" t="str">
        <f>завтрак!C50</f>
        <v>кг</v>
      </c>
      <c r="D50" s="46">
        <f>завтрак!D50</f>
        <v>507</v>
      </c>
      <c r="E50" s="232"/>
      <c r="F50" s="30">
        <f t="shared" si="2"/>
        <v>0</v>
      </c>
      <c r="G50" s="232"/>
      <c r="H50" s="30">
        <f t="shared" si="3"/>
        <v>0</v>
      </c>
      <c r="I50" s="232"/>
      <c r="J50" s="30">
        <f t="shared" si="4"/>
        <v>0</v>
      </c>
      <c r="K50" s="232"/>
      <c r="L50" s="30">
        <f t="shared" si="5"/>
        <v>0</v>
      </c>
      <c r="M50" s="238"/>
      <c r="N50" s="30">
        <f t="shared" si="6"/>
        <v>0</v>
      </c>
      <c r="O50" s="232"/>
      <c r="P50" s="30">
        <f t="shared" si="7"/>
        <v>0</v>
      </c>
      <c r="Q50" s="232"/>
      <c r="R50" s="30">
        <f t="shared" si="8"/>
        <v>0</v>
      </c>
      <c r="S50" s="232"/>
      <c r="T50" s="30">
        <f t="shared" si="9"/>
        <v>0</v>
      </c>
      <c r="U50" s="232"/>
      <c r="V50" s="30">
        <f t="shared" si="10"/>
        <v>0</v>
      </c>
      <c r="W50" s="238"/>
      <c r="X50" s="30">
        <f t="shared" si="11"/>
        <v>0</v>
      </c>
      <c r="Y50" s="37">
        <f t="shared" si="0"/>
        <v>0</v>
      </c>
      <c r="Z50" s="30">
        <f t="shared" si="12"/>
        <v>0</v>
      </c>
      <c r="AA50" s="61">
        <f t="shared" si="1"/>
        <v>0</v>
      </c>
    </row>
    <row r="51" spans="1:27" ht="15">
      <c r="A51" s="33">
        <v>49</v>
      </c>
      <c r="B51" s="31" t="str">
        <f>завтрак!B51</f>
        <v>Лавровый лист</v>
      </c>
      <c r="C51" s="32" t="str">
        <f>завтрак!C51</f>
        <v>кг</v>
      </c>
      <c r="D51" s="46">
        <f>завтрак!D51</f>
        <v>617</v>
      </c>
      <c r="E51" s="232"/>
      <c r="F51" s="30">
        <f t="shared" si="2"/>
        <v>0</v>
      </c>
      <c r="G51" s="232"/>
      <c r="H51" s="30">
        <f t="shared" si="3"/>
        <v>0</v>
      </c>
      <c r="I51" s="232"/>
      <c r="J51" s="30">
        <f t="shared" si="4"/>
        <v>0</v>
      </c>
      <c r="K51" s="232"/>
      <c r="L51" s="30">
        <f t="shared" si="5"/>
        <v>0</v>
      </c>
      <c r="M51" s="238"/>
      <c r="N51" s="30">
        <f t="shared" si="6"/>
        <v>0</v>
      </c>
      <c r="O51" s="232"/>
      <c r="P51" s="30">
        <f t="shared" si="7"/>
        <v>0</v>
      </c>
      <c r="Q51" s="232"/>
      <c r="R51" s="30">
        <f t="shared" si="8"/>
        <v>0</v>
      </c>
      <c r="S51" s="232"/>
      <c r="T51" s="30">
        <f t="shared" si="9"/>
        <v>0</v>
      </c>
      <c r="U51" s="232"/>
      <c r="V51" s="30">
        <f t="shared" si="10"/>
        <v>0</v>
      </c>
      <c r="W51" s="238"/>
      <c r="X51" s="30">
        <f t="shared" si="11"/>
        <v>0</v>
      </c>
      <c r="Y51" s="37">
        <f t="shared" si="0"/>
        <v>0</v>
      </c>
      <c r="Z51" s="30">
        <f t="shared" si="12"/>
        <v>0</v>
      </c>
      <c r="AA51" s="61">
        <f t="shared" si="1"/>
        <v>0</v>
      </c>
    </row>
    <row r="52" spans="1:27" ht="15">
      <c r="A52" s="33">
        <v>50</v>
      </c>
      <c r="B52" s="31" t="str">
        <f>завтрак!B52</f>
        <v>Хлеб пшеничный</v>
      </c>
      <c r="C52" s="32" t="str">
        <f>завтрак!C52</f>
        <v>кг</v>
      </c>
      <c r="D52" s="46">
        <f>завтрак!D52</f>
        <v>48</v>
      </c>
      <c r="E52" s="232"/>
      <c r="F52" s="30">
        <f t="shared" si="2"/>
        <v>0</v>
      </c>
      <c r="G52" s="232"/>
      <c r="H52" s="30">
        <f t="shared" si="3"/>
        <v>0</v>
      </c>
      <c r="I52" s="232"/>
      <c r="J52" s="30">
        <f t="shared" si="4"/>
        <v>0</v>
      </c>
      <c r="K52" s="232"/>
      <c r="L52" s="30">
        <f t="shared" si="5"/>
        <v>0</v>
      </c>
      <c r="M52" s="238"/>
      <c r="N52" s="30">
        <f t="shared" si="6"/>
        <v>0</v>
      </c>
      <c r="O52" s="232"/>
      <c r="P52" s="30">
        <f t="shared" si="7"/>
        <v>0</v>
      </c>
      <c r="Q52" s="232"/>
      <c r="R52" s="30">
        <f t="shared" si="8"/>
        <v>0</v>
      </c>
      <c r="S52" s="232"/>
      <c r="T52" s="30">
        <f t="shared" si="9"/>
        <v>0</v>
      </c>
      <c r="U52" s="232"/>
      <c r="V52" s="30">
        <f t="shared" si="10"/>
        <v>0</v>
      </c>
      <c r="W52" s="238"/>
      <c r="X52" s="30">
        <f t="shared" si="11"/>
        <v>0</v>
      </c>
      <c r="Y52" s="37">
        <f t="shared" si="0"/>
        <v>0</v>
      </c>
      <c r="Z52" s="30">
        <f t="shared" si="12"/>
        <v>0</v>
      </c>
      <c r="AA52" s="61">
        <f t="shared" si="1"/>
        <v>0</v>
      </c>
    </row>
    <row r="53" spans="1:27" ht="15">
      <c r="A53" s="33">
        <v>51</v>
      </c>
      <c r="B53" s="31" t="str">
        <f>завтрак!B53</f>
        <v>Пряник 1 сорт</v>
      </c>
      <c r="C53" s="32" t="str">
        <f>завтрак!C53</f>
        <v>кг</v>
      </c>
      <c r="D53" s="46">
        <f>завтрак!D53</f>
        <v>153</v>
      </c>
      <c r="E53" s="232"/>
      <c r="F53" s="30">
        <f t="shared" si="2"/>
        <v>0</v>
      </c>
      <c r="G53" s="232"/>
      <c r="H53" s="30">
        <f t="shared" si="3"/>
        <v>0</v>
      </c>
      <c r="I53" s="232"/>
      <c r="J53" s="30">
        <f t="shared" si="4"/>
        <v>0</v>
      </c>
      <c r="K53" s="232"/>
      <c r="L53" s="30">
        <f t="shared" si="5"/>
        <v>0</v>
      </c>
      <c r="M53" s="238"/>
      <c r="N53" s="30">
        <f t="shared" si="6"/>
        <v>0</v>
      </c>
      <c r="O53" s="232"/>
      <c r="P53" s="30">
        <f t="shared" si="7"/>
        <v>0</v>
      </c>
      <c r="Q53" s="232"/>
      <c r="R53" s="30">
        <f t="shared" si="8"/>
        <v>0</v>
      </c>
      <c r="S53" s="232"/>
      <c r="T53" s="30">
        <f t="shared" si="9"/>
        <v>0</v>
      </c>
      <c r="U53" s="232"/>
      <c r="V53" s="30">
        <f t="shared" si="10"/>
        <v>0</v>
      </c>
      <c r="W53" s="238"/>
      <c r="X53" s="30">
        <f t="shared" si="11"/>
        <v>0</v>
      </c>
      <c r="Y53" s="37">
        <f t="shared" si="0"/>
        <v>0</v>
      </c>
      <c r="Z53" s="30">
        <f t="shared" si="12"/>
        <v>0</v>
      </c>
      <c r="AA53" s="61">
        <f t="shared" si="1"/>
        <v>0</v>
      </c>
    </row>
    <row r="54" spans="1:27" ht="15">
      <c r="A54" s="33">
        <v>52</v>
      </c>
      <c r="B54" s="31" t="str">
        <f>завтрак!B54</f>
        <v>Фасоль сухая (1 сорт)</v>
      </c>
      <c r="C54" s="32" t="str">
        <f>завтрак!C54</f>
        <v>кг</v>
      </c>
      <c r="D54" s="46">
        <f>завтрак!D54</f>
        <v>185</v>
      </c>
      <c r="E54" s="232"/>
      <c r="F54" s="30">
        <f t="shared" si="2"/>
        <v>0</v>
      </c>
      <c r="G54" s="232"/>
      <c r="H54" s="30">
        <f t="shared" si="3"/>
        <v>0</v>
      </c>
      <c r="I54" s="232"/>
      <c r="J54" s="30">
        <f t="shared" si="4"/>
        <v>0</v>
      </c>
      <c r="K54" s="232"/>
      <c r="L54" s="30">
        <f t="shared" si="5"/>
        <v>0</v>
      </c>
      <c r="M54" s="238"/>
      <c r="N54" s="30">
        <f t="shared" si="6"/>
        <v>0</v>
      </c>
      <c r="O54" s="232"/>
      <c r="P54" s="30">
        <f t="shared" si="7"/>
        <v>0</v>
      </c>
      <c r="Q54" s="232"/>
      <c r="R54" s="30">
        <f t="shared" si="8"/>
        <v>0</v>
      </c>
      <c r="S54" s="232"/>
      <c r="T54" s="30">
        <f t="shared" si="9"/>
        <v>0</v>
      </c>
      <c r="U54" s="232"/>
      <c r="V54" s="30">
        <f t="shared" si="10"/>
        <v>0</v>
      </c>
      <c r="W54" s="238"/>
      <c r="X54" s="30">
        <f t="shared" si="11"/>
        <v>0</v>
      </c>
      <c r="Y54" s="37">
        <f t="shared" si="0"/>
        <v>0</v>
      </c>
      <c r="Z54" s="30">
        <f t="shared" si="12"/>
        <v>0</v>
      </c>
      <c r="AA54" s="61">
        <f t="shared" si="1"/>
        <v>0</v>
      </c>
    </row>
    <row r="55" spans="1:27" ht="15">
      <c r="A55" s="33">
        <v>53</v>
      </c>
      <c r="B55" s="31" t="str">
        <f>завтрак!B55</f>
        <v>Лимон свежий (1 сорт)</v>
      </c>
      <c r="C55" s="32" t="str">
        <f>завтрак!C55</f>
        <v>кг</v>
      </c>
      <c r="D55" s="46">
        <f>завтрак!D55</f>
        <v>220</v>
      </c>
      <c r="E55" s="232"/>
      <c r="F55" s="30">
        <f t="shared" si="2"/>
        <v>0</v>
      </c>
      <c r="G55" s="232"/>
      <c r="H55" s="30">
        <f t="shared" si="3"/>
        <v>0</v>
      </c>
      <c r="I55" s="232"/>
      <c r="J55" s="30">
        <f t="shared" si="4"/>
        <v>0</v>
      </c>
      <c r="K55" s="232"/>
      <c r="L55" s="30">
        <f t="shared" si="5"/>
        <v>0</v>
      </c>
      <c r="M55" s="238"/>
      <c r="N55" s="30">
        <f t="shared" si="6"/>
        <v>0</v>
      </c>
      <c r="O55" s="232"/>
      <c r="P55" s="30">
        <f t="shared" si="7"/>
        <v>0</v>
      </c>
      <c r="Q55" s="232"/>
      <c r="R55" s="30">
        <f t="shared" si="8"/>
        <v>0</v>
      </c>
      <c r="S55" s="232"/>
      <c r="T55" s="30">
        <f t="shared" si="9"/>
        <v>0</v>
      </c>
      <c r="U55" s="232"/>
      <c r="V55" s="30">
        <f t="shared" si="10"/>
        <v>0</v>
      </c>
      <c r="W55" s="238"/>
      <c r="X55" s="30">
        <f t="shared" si="11"/>
        <v>0</v>
      </c>
      <c r="Y55" s="37">
        <f t="shared" si="0"/>
        <v>0</v>
      </c>
      <c r="Z55" s="30">
        <f t="shared" si="12"/>
        <v>0</v>
      </c>
      <c r="AA55" s="61">
        <f t="shared" si="1"/>
        <v>0</v>
      </c>
    </row>
    <row r="56" spans="1:27" ht="15.75">
      <c r="A56" s="34"/>
      <c r="B56" s="35" t="s">
        <v>52</v>
      </c>
      <c r="C56" s="32"/>
      <c r="D56" s="30"/>
      <c r="E56" s="232"/>
      <c r="F56" s="65">
        <f>SUM(F3:F55)</f>
        <v>19.22</v>
      </c>
      <c r="G56" s="232"/>
      <c r="H56" s="65">
        <f>SUM(H3:H55)</f>
        <v>19.22</v>
      </c>
      <c r="I56" s="232"/>
      <c r="J56" s="65">
        <f>SUM(J3:J55)</f>
        <v>19.22</v>
      </c>
      <c r="K56" s="232"/>
      <c r="L56" s="65">
        <f>SUM(L3:L55)</f>
        <v>19.22</v>
      </c>
      <c r="M56" s="238"/>
      <c r="N56" s="65">
        <f>SUM(N3:N55)</f>
        <v>19.22</v>
      </c>
      <c r="O56" s="232"/>
      <c r="P56" s="65">
        <f>SUM(P3:P55)</f>
        <v>19.22</v>
      </c>
      <c r="Q56" s="232"/>
      <c r="R56" s="65">
        <f>SUM(R3:R55)</f>
        <v>19.22</v>
      </c>
      <c r="S56" s="232"/>
      <c r="T56" s="65">
        <f>SUM(T3:T55)</f>
        <v>19.22</v>
      </c>
      <c r="U56" s="232"/>
      <c r="V56" s="65">
        <f>SUM(V3:V55)</f>
        <v>19.22</v>
      </c>
      <c r="W56" s="238"/>
      <c r="X56" s="65">
        <f>SUM(X3:X55)</f>
        <v>19.22</v>
      </c>
      <c r="Y56" s="37">
        <f>(E56+G56+I56+K56+M56+O56+Q56+S56+U56+W56)</f>
        <v>0</v>
      </c>
      <c r="Z56" s="30">
        <f t="shared" si="12"/>
        <v>0</v>
      </c>
      <c r="AA56" s="61"/>
    </row>
    <row r="57" spans="1:27" ht="12.75">
      <c r="A57" s="30"/>
      <c r="B57" s="30"/>
      <c r="C57" s="30"/>
      <c r="D57" s="30"/>
      <c r="E57" s="232"/>
      <c r="F57" s="30"/>
      <c r="G57" s="232"/>
      <c r="H57" s="30"/>
      <c r="I57" s="232"/>
      <c r="J57" s="30"/>
      <c r="K57" s="232"/>
      <c r="L57" s="30"/>
      <c r="M57" s="238"/>
      <c r="N57" s="30"/>
      <c r="O57" s="232"/>
      <c r="P57" s="30"/>
      <c r="Q57" s="232"/>
      <c r="R57" s="30"/>
      <c r="S57" s="232"/>
      <c r="T57" s="30"/>
      <c r="U57" s="232"/>
      <c r="V57" s="30"/>
      <c r="W57" s="238"/>
      <c r="X57" s="30"/>
      <c r="Y57" s="37"/>
      <c r="Z57" s="30">
        <f>SUM(Z3:Z56)</f>
        <v>192.19</v>
      </c>
      <c r="AA57" s="6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T63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3.625" style="0" customWidth="1"/>
    <col min="2" max="2" width="30.00390625" style="0" customWidth="1"/>
    <col min="3" max="3" width="4.625" style="0" customWidth="1"/>
    <col min="4" max="4" width="5.875" style="0" customWidth="1"/>
    <col min="5" max="5" width="8.125" style="0" customWidth="1"/>
    <col min="6" max="6" width="7.375" style="0" customWidth="1"/>
    <col min="7" max="7" width="9.375" style="0" customWidth="1"/>
    <col min="8" max="8" width="7.875" style="0" customWidth="1"/>
    <col min="9" max="9" width="6.875" style="0" customWidth="1"/>
    <col min="10" max="10" width="8.25390625" style="0" customWidth="1"/>
    <col min="11" max="11" width="8.875" style="0" hidden="1" customWidth="1"/>
    <col min="12" max="12" width="7.125" style="0" hidden="1" customWidth="1"/>
    <col min="13" max="13" width="9.875" style="0" hidden="1" customWidth="1"/>
    <col min="14" max="14" width="8.125" style="0" customWidth="1"/>
    <col min="15" max="15" width="10.375" style="0" customWidth="1"/>
    <col min="16" max="16" width="9.00390625" style="263" customWidth="1"/>
    <col min="17" max="17" width="8.75390625" style="0" customWidth="1"/>
    <col min="18" max="18" width="11.125" style="0" customWidth="1"/>
    <col min="19" max="19" width="9.375" style="0" customWidth="1"/>
    <col min="20" max="20" width="10.125" style="42" customWidth="1"/>
  </cols>
  <sheetData>
    <row r="1" spans="1:20" ht="14.25">
      <c r="A1" s="291" t="s">
        <v>235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2"/>
      <c r="T1" s="292"/>
    </row>
    <row r="2" spans="1:18" ht="15">
      <c r="A2" s="48"/>
      <c r="B2" s="48"/>
      <c r="C2" s="48"/>
      <c r="D2" s="48"/>
      <c r="E2" s="48"/>
      <c r="F2" s="48"/>
      <c r="G2" s="48"/>
      <c r="H2" s="62"/>
      <c r="I2" s="48"/>
      <c r="J2" s="48"/>
      <c r="K2" s="48"/>
      <c r="L2" s="48"/>
      <c r="M2" s="48"/>
      <c r="N2" s="48"/>
      <c r="O2" s="48"/>
      <c r="P2" s="256"/>
      <c r="Q2" s="48"/>
      <c r="R2" s="48"/>
    </row>
    <row r="3" spans="1:20" ht="45">
      <c r="A3" s="49" t="s">
        <v>3</v>
      </c>
      <c r="B3" s="49" t="s">
        <v>53</v>
      </c>
      <c r="C3" s="49" t="s">
        <v>59</v>
      </c>
      <c r="D3" s="49" t="s">
        <v>54</v>
      </c>
      <c r="E3" s="49" t="s">
        <v>119</v>
      </c>
      <c r="F3" s="84" t="s">
        <v>61</v>
      </c>
      <c r="G3" s="84" t="s">
        <v>60</v>
      </c>
      <c r="H3" s="49" t="s">
        <v>120</v>
      </c>
      <c r="I3" s="84" t="s">
        <v>61</v>
      </c>
      <c r="J3" s="84" t="s">
        <v>121</v>
      </c>
      <c r="K3" s="49" t="s">
        <v>211</v>
      </c>
      <c r="L3" s="84" t="s">
        <v>61</v>
      </c>
      <c r="M3" s="84" t="s">
        <v>118</v>
      </c>
      <c r="N3" s="84" t="s">
        <v>62</v>
      </c>
      <c r="O3" s="49" t="s">
        <v>55</v>
      </c>
      <c r="P3" s="257" t="s">
        <v>67</v>
      </c>
      <c r="Q3" s="49" t="s">
        <v>63</v>
      </c>
      <c r="R3" s="49" t="s">
        <v>55</v>
      </c>
      <c r="S3" s="240" t="s">
        <v>63</v>
      </c>
      <c r="T3" s="240" t="s">
        <v>55</v>
      </c>
    </row>
    <row r="4" spans="1:20" ht="15">
      <c r="A4" s="50">
        <f>завтрак!A3</f>
        <v>1</v>
      </c>
      <c r="B4" s="51" t="str">
        <f>полдник!B3</f>
        <v>Яйцо (1 сорт)</v>
      </c>
      <c r="C4" s="52" t="str">
        <f>полдник!C3</f>
        <v>шт</v>
      </c>
      <c r="D4" s="63">
        <f>обед!D3</f>
        <v>13.5</v>
      </c>
      <c r="E4" s="58">
        <f>завтрак!AA3</f>
        <v>13.55</v>
      </c>
      <c r="F4" s="55">
        <v>68</v>
      </c>
      <c r="G4" s="55">
        <f>E4*F4</f>
        <v>921.4</v>
      </c>
      <c r="H4" s="85">
        <f>обед!AA3</f>
        <v>2.15</v>
      </c>
      <c r="I4" s="55">
        <v>65</v>
      </c>
      <c r="J4" s="55">
        <f>H4*I4</f>
        <v>139.75</v>
      </c>
      <c r="K4" s="56">
        <f>полдник!AA3</f>
        <v>8.35</v>
      </c>
      <c r="L4" s="55"/>
      <c r="M4" s="55">
        <f>K4*L4</f>
        <v>0</v>
      </c>
      <c r="N4" s="55">
        <f>G4+J4+M4</f>
        <v>1061.15</v>
      </c>
      <c r="O4" s="56">
        <f>D4*N4</f>
        <v>14325.53</v>
      </c>
      <c r="P4" s="258">
        <v>45</v>
      </c>
      <c r="Q4" s="57">
        <f aca="true" t="shared" si="0" ref="Q4:Q56">N4-P4</f>
        <v>1016.15</v>
      </c>
      <c r="R4" s="56">
        <f aca="true" t="shared" si="1" ref="R4:R35">Q4*D4</f>
        <v>13718.03</v>
      </c>
      <c r="S4" s="94">
        <f>Q4</f>
        <v>1016</v>
      </c>
      <c r="T4" s="254">
        <f>S4*D4</f>
        <v>13716</v>
      </c>
    </row>
    <row r="5" spans="1:20" ht="30">
      <c r="A5" s="50">
        <f>завтрак!A4</f>
        <v>2</v>
      </c>
      <c r="B5" s="51" t="str">
        <f>полдник!B4</f>
        <v>Мясо говядины без кости (1 категории)</v>
      </c>
      <c r="C5" s="52" t="str">
        <f>полдник!C4</f>
        <v>кг</v>
      </c>
      <c r="D5" s="86">
        <f>обед!D4</f>
        <v>622</v>
      </c>
      <c r="E5" s="58">
        <f>завтрак!AA4</f>
        <v>0</v>
      </c>
      <c r="F5" s="55">
        <v>68</v>
      </c>
      <c r="G5" s="55">
        <f>E5*F5/1000</f>
        <v>0</v>
      </c>
      <c r="H5" s="85">
        <f>обед!AA4</f>
        <v>1200</v>
      </c>
      <c r="I5" s="55">
        <v>65</v>
      </c>
      <c r="J5" s="55">
        <f>H5*I5/1000</f>
        <v>78</v>
      </c>
      <c r="K5" s="56">
        <f>полдник!AA4</f>
        <v>0</v>
      </c>
      <c r="L5" s="55"/>
      <c r="M5" s="57">
        <f>K5*L5/1000</f>
        <v>0</v>
      </c>
      <c r="N5" s="55">
        <f aca="true" t="shared" si="2" ref="N5:N56">G5+J5+M5</f>
        <v>78</v>
      </c>
      <c r="O5" s="56">
        <f aca="true" t="shared" si="3" ref="O5:O56">D5*N5</f>
        <v>48516</v>
      </c>
      <c r="P5" s="258"/>
      <c r="Q5" s="57">
        <f t="shared" si="0"/>
        <v>78</v>
      </c>
      <c r="R5" s="56">
        <f t="shared" si="1"/>
        <v>48516</v>
      </c>
      <c r="S5" s="94">
        <f aca="true" t="shared" si="4" ref="S5:S56">Q5</f>
        <v>78</v>
      </c>
      <c r="T5" s="254">
        <f aca="true" t="shared" si="5" ref="T5:T56">S5*D5</f>
        <v>48516</v>
      </c>
    </row>
    <row r="6" spans="1:20" ht="15">
      <c r="A6" s="50">
        <f>завтрак!A5</f>
        <v>3</v>
      </c>
      <c r="B6" s="51" t="str">
        <f>полдник!B5</f>
        <v>Мясо птицы (1 категории)</v>
      </c>
      <c r="C6" s="52" t="str">
        <f>полдник!C5</f>
        <v>кг</v>
      </c>
      <c r="D6" s="86">
        <f>обед!D5</f>
        <v>292</v>
      </c>
      <c r="E6" s="58">
        <f>завтрак!AA5</f>
        <v>125</v>
      </c>
      <c r="F6" s="55">
        <v>68</v>
      </c>
      <c r="G6" s="55">
        <f aca="true" t="shared" si="6" ref="G6:G56">E6*F6/1000</f>
        <v>8.5</v>
      </c>
      <c r="H6" s="85">
        <f>обед!AA5</f>
        <v>1440</v>
      </c>
      <c r="I6" s="55">
        <v>65</v>
      </c>
      <c r="J6" s="55">
        <f aca="true" t="shared" si="7" ref="J6:J56">H6*I6/1000</f>
        <v>93.6</v>
      </c>
      <c r="K6" s="56">
        <f>полдник!AA5</f>
        <v>0</v>
      </c>
      <c r="L6" s="55"/>
      <c r="M6" s="57">
        <f aca="true" t="shared" si="8" ref="M6:M56">K6*L6/1000</f>
        <v>0</v>
      </c>
      <c r="N6" s="55">
        <f t="shared" si="2"/>
        <v>102.1</v>
      </c>
      <c r="O6" s="56">
        <f t="shared" si="3"/>
        <v>29813.2</v>
      </c>
      <c r="P6" s="258"/>
      <c r="Q6" s="57">
        <f t="shared" si="0"/>
        <v>102.1</v>
      </c>
      <c r="R6" s="56">
        <f t="shared" si="1"/>
        <v>29813.2</v>
      </c>
      <c r="S6" s="94">
        <f t="shared" si="4"/>
        <v>102</v>
      </c>
      <c r="T6" s="254">
        <f t="shared" si="5"/>
        <v>29784</v>
      </c>
    </row>
    <row r="7" spans="1:20" ht="15">
      <c r="A7" s="50">
        <f>завтрак!A6</f>
        <v>4</v>
      </c>
      <c r="B7" s="51">
        <f>полдник!B6</f>
        <v>0</v>
      </c>
      <c r="C7" s="52">
        <f>полдник!C6</f>
        <v>0</v>
      </c>
      <c r="D7" s="86">
        <f>обед!D6</f>
        <v>0</v>
      </c>
      <c r="E7" s="58">
        <f>завтрак!AA6</f>
        <v>0</v>
      </c>
      <c r="F7" s="55">
        <v>68</v>
      </c>
      <c r="G7" s="55">
        <f t="shared" si="6"/>
        <v>0</v>
      </c>
      <c r="H7" s="85">
        <f>обед!AA6</f>
        <v>0</v>
      </c>
      <c r="I7" s="55">
        <v>65</v>
      </c>
      <c r="J7" s="55">
        <f t="shared" si="7"/>
        <v>0</v>
      </c>
      <c r="K7" s="56">
        <f>полдник!AA6</f>
        <v>0</v>
      </c>
      <c r="L7" s="55"/>
      <c r="M7" s="57">
        <f t="shared" si="8"/>
        <v>0</v>
      </c>
      <c r="N7" s="55">
        <f t="shared" si="2"/>
        <v>0</v>
      </c>
      <c r="O7" s="56">
        <f t="shared" si="3"/>
        <v>0</v>
      </c>
      <c r="P7" s="258"/>
      <c r="Q7" s="57">
        <f t="shared" si="0"/>
        <v>0</v>
      </c>
      <c r="R7" s="56">
        <f t="shared" si="1"/>
        <v>0</v>
      </c>
      <c r="S7" s="94">
        <f t="shared" si="4"/>
        <v>0</v>
      </c>
      <c r="T7" s="254">
        <f t="shared" si="5"/>
        <v>0</v>
      </c>
    </row>
    <row r="8" spans="1:20" ht="15">
      <c r="A8" s="50">
        <f>завтрак!A7</f>
        <v>5</v>
      </c>
      <c r="B8" s="51">
        <f>полдник!B7</f>
        <v>0</v>
      </c>
      <c r="C8" s="52">
        <f>полдник!C7</f>
        <v>0</v>
      </c>
      <c r="D8" s="86">
        <f>обед!D7</f>
        <v>0</v>
      </c>
      <c r="E8" s="58">
        <f>завтрак!AA7</f>
        <v>0</v>
      </c>
      <c r="F8" s="55">
        <v>68</v>
      </c>
      <c r="G8" s="55">
        <f t="shared" si="6"/>
        <v>0</v>
      </c>
      <c r="H8" s="85">
        <f>обед!AA7</f>
        <v>0</v>
      </c>
      <c r="I8" s="55">
        <v>65</v>
      </c>
      <c r="J8" s="55">
        <f t="shared" si="7"/>
        <v>0</v>
      </c>
      <c r="K8" s="56">
        <f>полдник!AA7</f>
        <v>0</v>
      </c>
      <c r="L8" s="55"/>
      <c r="M8" s="57">
        <f t="shared" si="8"/>
        <v>0</v>
      </c>
      <c r="N8" s="55">
        <f t="shared" si="2"/>
        <v>0</v>
      </c>
      <c r="O8" s="56">
        <f t="shared" si="3"/>
        <v>0</v>
      </c>
      <c r="P8" s="258"/>
      <c r="Q8" s="57">
        <f t="shared" si="0"/>
        <v>0</v>
      </c>
      <c r="R8" s="56">
        <f t="shared" si="1"/>
        <v>0</v>
      </c>
      <c r="S8" s="94">
        <f t="shared" si="4"/>
        <v>0</v>
      </c>
      <c r="T8" s="254">
        <f t="shared" si="5"/>
        <v>0</v>
      </c>
    </row>
    <row r="9" spans="1:20" ht="15" customHeight="1">
      <c r="A9" s="50">
        <f>завтрак!A8</f>
        <v>6</v>
      </c>
      <c r="B9" s="51" t="str">
        <f>полдник!B8</f>
        <v>Молоко пастеризованное (2,5%)</v>
      </c>
      <c r="C9" s="52" t="str">
        <f>полдник!C8</f>
        <v>л</v>
      </c>
      <c r="D9" s="86">
        <f>обед!D8</f>
        <v>72</v>
      </c>
      <c r="E9" s="58">
        <f>завтрак!AA8</f>
        <v>2020</v>
      </c>
      <c r="F9" s="55">
        <v>68</v>
      </c>
      <c r="G9" s="55">
        <f t="shared" si="6"/>
        <v>137.36</v>
      </c>
      <c r="H9" s="85">
        <f>обед!AA8</f>
        <v>125</v>
      </c>
      <c r="I9" s="55">
        <v>65</v>
      </c>
      <c r="J9" s="55">
        <f t="shared" si="7"/>
        <v>8.125</v>
      </c>
      <c r="K9" s="56">
        <f>полдник!AA8</f>
        <v>345</v>
      </c>
      <c r="L9" s="55"/>
      <c r="M9" s="57">
        <f t="shared" si="8"/>
        <v>0</v>
      </c>
      <c r="N9" s="55">
        <f t="shared" si="2"/>
        <v>145.485</v>
      </c>
      <c r="O9" s="56">
        <f t="shared" si="3"/>
        <v>10474.92</v>
      </c>
      <c r="P9" s="258"/>
      <c r="Q9" s="57">
        <f t="shared" si="0"/>
        <v>145.49</v>
      </c>
      <c r="R9" s="56">
        <f t="shared" si="1"/>
        <v>10475.28</v>
      </c>
      <c r="S9" s="94">
        <f t="shared" si="4"/>
        <v>145</v>
      </c>
      <c r="T9" s="254">
        <f t="shared" si="5"/>
        <v>10440</v>
      </c>
    </row>
    <row r="10" spans="1:20" ht="15">
      <c r="A10" s="50">
        <f>завтрак!A9</f>
        <v>7</v>
      </c>
      <c r="B10" s="51" t="str">
        <f>полдник!B9</f>
        <v>Масло сливочное (72,5%)</v>
      </c>
      <c r="C10" s="52" t="str">
        <f>полдник!C9</f>
        <v>кг</v>
      </c>
      <c r="D10" s="86">
        <f>обед!D9</f>
        <v>467</v>
      </c>
      <c r="E10" s="58">
        <f>завтрак!AA9</f>
        <v>210</v>
      </c>
      <c r="F10" s="55">
        <v>68</v>
      </c>
      <c r="G10" s="55">
        <f t="shared" si="6"/>
        <v>14.28</v>
      </c>
      <c r="H10" s="85">
        <f>обед!AA9</f>
        <v>295</v>
      </c>
      <c r="I10" s="55">
        <v>65</v>
      </c>
      <c r="J10" s="55">
        <f t="shared" si="7"/>
        <v>19.175</v>
      </c>
      <c r="K10" s="56">
        <f>полдник!AA9</f>
        <v>110</v>
      </c>
      <c r="L10" s="55"/>
      <c r="M10" s="57">
        <f t="shared" si="8"/>
        <v>0</v>
      </c>
      <c r="N10" s="55">
        <f t="shared" si="2"/>
        <v>33.455</v>
      </c>
      <c r="O10" s="56">
        <f t="shared" si="3"/>
        <v>15623.49</v>
      </c>
      <c r="P10" s="258">
        <v>1</v>
      </c>
      <c r="Q10" s="57">
        <f t="shared" si="0"/>
        <v>32.46</v>
      </c>
      <c r="R10" s="56">
        <f t="shared" si="1"/>
        <v>15158.82</v>
      </c>
      <c r="S10" s="295">
        <v>32.6</v>
      </c>
      <c r="T10" s="254">
        <f t="shared" si="5"/>
        <v>15224.2</v>
      </c>
    </row>
    <row r="11" spans="1:20" ht="15">
      <c r="A11" s="50">
        <f>завтрак!A10</f>
        <v>8</v>
      </c>
      <c r="B11" s="51" t="str">
        <f>полдник!B10</f>
        <v>Сметана (15%)</v>
      </c>
      <c r="C11" s="52" t="str">
        <f>полдник!C10</f>
        <v>кг</v>
      </c>
      <c r="D11" s="86">
        <f>обед!D10</f>
        <v>199</v>
      </c>
      <c r="E11" s="58">
        <f>завтрак!AA10</f>
        <v>72.5</v>
      </c>
      <c r="F11" s="55">
        <v>68</v>
      </c>
      <c r="G11" s="55">
        <f t="shared" si="6"/>
        <v>4.93</v>
      </c>
      <c r="H11" s="85">
        <f>обед!AA10</f>
        <v>300</v>
      </c>
      <c r="I11" s="55">
        <v>65</v>
      </c>
      <c r="J11" s="55">
        <f t="shared" si="7"/>
        <v>19.5</v>
      </c>
      <c r="K11" s="56">
        <f>полдник!AA10</f>
        <v>90</v>
      </c>
      <c r="L11" s="55"/>
      <c r="M11" s="57">
        <f t="shared" si="8"/>
        <v>0</v>
      </c>
      <c r="N11" s="55">
        <f t="shared" si="2"/>
        <v>24.43</v>
      </c>
      <c r="O11" s="56">
        <f t="shared" si="3"/>
        <v>4861.57</v>
      </c>
      <c r="P11" s="258">
        <v>1.2</v>
      </c>
      <c r="Q11" s="57">
        <f t="shared" si="0"/>
        <v>23.23</v>
      </c>
      <c r="R11" s="56">
        <f t="shared" si="1"/>
        <v>4622.77</v>
      </c>
      <c r="S11" s="94">
        <f t="shared" si="4"/>
        <v>23</v>
      </c>
      <c r="T11" s="254">
        <f t="shared" si="5"/>
        <v>4577</v>
      </c>
    </row>
    <row r="12" spans="1:20" ht="15">
      <c r="A12" s="50">
        <f>завтрак!A11</f>
        <v>9</v>
      </c>
      <c r="B12" s="51" t="str">
        <f>полдник!B11</f>
        <v>Творог (5%)</v>
      </c>
      <c r="C12" s="52" t="str">
        <f>полдник!C11</f>
        <v>кг</v>
      </c>
      <c r="D12" s="86">
        <f>обед!D11</f>
        <v>217</v>
      </c>
      <c r="E12" s="58">
        <f>завтрак!AA11</f>
        <v>460</v>
      </c>
      <c r="F12" s="55">
        <v>68</v>
      </c>
      <c r="G12" s="55">
        <f t="shared" si="6"/>
        <v>31.28</v>
      </c>
      <c r="H12" s="85">
        <f>обед!AA11</f>
        <v>0</v>
      </c>
      <c r="I12" s="55">
        <v>65</v>
      </c>
      <c r="J12" s="55">
        <f t="shared" si="7"/>
        <v>0</v>
      </c>
      <c r="K12" s="56">
        <f>полдник!AA11</f>
        <v>75</v>
      </c>
      <c r="L12" s="55"/>
      <c r="M12" s="57">
        <f t="shared" si="8"/>
        <v>0</v>
      </c>
      <c r="N12" s="55">
        <f t="shared" si="2"/>
        <v>31.28</v>
      </c>
      <c r="O12" s="56">
        <f t="shared" si="3"/>
        <v>6787.76</v>
      </c>
      <c r="P12" s="258"/>
      <c r="Q12" s="57">
        <f t="shared" si="0"/>
        <v>31.28</v>
      </c>
      <c r="R12" s="56">
        <f t="shared" si="1"/>
        <v>6787.76</v>
      </c>
      <c r="S12" s="94">
        <v>30</v>
      </c>
      <c r="T12" s="254">
        <f t="shared" si="5"/>
        <v>6510</v>
      </c>
    </row>
    <row r="13" spans="1:20" ht="15">
      <c r="A13" s="50">
        <f>завтрак!A12</f>
        <v>10</v>
      </c>
      <c r="B13" s="51" t="str">
        <f>полдник!B12</f>
        <v>Сыр твердый (45%)</v>
      </c>
      <c r="C13" s="52" t="str">
        <f>полдник!C12</f>
        <v>кг</v>
      </c>
      <c r="D13" s="86">
        <f>обед!D12</f>
        <v>543</v>
      </c>
      <c r="E13" s="58">
        <f>завтрак!AA12</f>
        <v>110</v>
      </c>
      <c r="F13" s="55">
        <v>68</v>
      </c>
      <c r="G13" s="55">
        <f t="shared" si="6"/>
        <v>7.48</v>
      </c>
      <c r="H13" s="85">
        <f>обед!AA12</f>
        <v>120</v>
      </c>
      <c r="I13" s="55">
        <v>65</v>
      </c>
      <c r="J13" s="55">
        <f t="shared" si="7"/>
        <v>7.8</v>
      </c>
      <c r="K13" s="56">
        <f>полдник!AA12</f>
        <v>0</v>
      </c>
      <c r="L13" s="55"/>
      <c r="M13" s="57">
        <f t="shared" si="8"/>
        <v>0</v>
      </c>
      <c r="N13" s="55">
        <f t="shared" si="2"/>
        <v>15.28</v>
      </c>
      <c r="O13" s="56">
        <f t="shared" si="3"/>
        <v>8297.04</v>
      </c>
      <c r="P13" s="258"/>
      <c r="Q13" s="57">
        <f t="shared" si="0"/>
        <v>15.28</v>
      </c>
      <c r="R13" s="56">
        <f t="shared" si="1"/>
        <v>8297.04</v>
      </c>
      <c r="S13" s="94">
        <f t="shared" si="4"/>
        <v>15</v>
      </c>
      <c r="T13" s="254">
        <f t="shared" si="5"/>
        <v>8145</v>
      </c>
    </row>
    <row r="14" spans="1:20" ht="30">
      <c r="A14" s="50">
        <f>завтрак!A13</f>
        <v>11</v>
      </c>
      <c r="B14" s="51" t="str">
        <f>полдник!B13</f>
        <v>Молоко сгущенное цельное с сахаром (8,5%)</v>
      </c>
      <c r="C14" s="52" t="str">
        <f>полдник!C13</f>
        <v>кг</v>
      </c>
      <c r="D14" s="86">
        <f>обед!D13</f>
        <v>247</v>
      </c>
      <c r="E14" s="58">
        <f>завтрак!AA13</f>
        <v>100</v>
      </c>
      <c r="F14" s="55">
        <v>68</v>
      </c>
      <c r="G14" s="55">
        <f t="shared" si="6"/>
        <v>6.8</v>
      </c>
      <c r="H14" s="85">
        <f>обед!AA13</f>
        <v>0</v>
      </c>
      <c r="I14" s="55">
        <v>65</v>
      </c>
      <c r="J14" s="55">
        <f>H14*I14/1000</f>
        <v>0</v>
      </c>
      <c r="K14" s="56">
        <f>полдник!AA13</f>
        <v>0</v>
      </c>
      <c r="L14" s="55"/>
      <c r="M14" s="57">
        <f t="shared" si="8"/>
        <v>0</v>
      </c>
      <c r="N14" s="55">
        <f t="shared" si="2"/>
        <v>6.8</v>
      </c>
      <c r="O14" s="56">
        <f t="shared" si="3"/>
        <v>1679.6</v>
      </c>
      <c r="P14" s="258"/>
      <c r="Q14" s="57">
        <f t="shared" si="0"/>
        <v>6.8</v>
      </c>
      <c r="R14" s="56">
        <f t="shared" si="1"/>
        <v>1679.6</v>
      </c>
      <c r="S14" s="94">
        <f t="shared" si="4"/>
        <v>7</v>
      </c>
      <c r="T14" s="254">
        <f t="shared" si="5"/>
        <v>1729</v>
      </c>
    </row>
    <row r="15" spans="1:20" ht="15">
      <c r="A15" s="50">
        <f>завтрак!A14</f>
        <v>12</v>
      </c>
      <c r="B15" s="51" t="str">
        <f>полдник!B14</f>
        <v>Картофель (1 сорт)</v>
      </c>
      <c r="C15" s="52" t="str">
        <f>полдник!C14</f>
        <v>кг</v>
      </c>
      <c r="D15" s="86">
        <f>обед!D14</f>
        <v>54</v>
      </c>
      <c r="E15" s="58">
        <f>завтрак!AA14</f>
        <v>570</v>
      </c>
      <c r="F15" s="55">
        <v>68</v>
      </c>
      <c r="G15" s="55">
        <f t="shared" si="6"/>
        <v>38.76</v>
      </c>
      <c r="H15" s="85">
        <f>обед!AA14</f>
        <v>5625</v>
      </c>
      <c r="I15" s="55">
        <v>65</v>
      </c>
      <c r="J15" s="55">
        <f t="shared" si="7"/>
        <v>365.625</v>
      </c>
      <c r="K15" s="56">
        <f>полдник!AA14</f>
        <v>470</v>
      </c>
      <c r="L15" s="55"/>
      <c r="M15" s="57">
        <f t="shared" si="8"/>
        <v>0</v>
      </c>
      <c r="N15" s="55">
        <f t="shared" si="2"/>
        <v>404.385</v>
      </c>
      <c r="O15" s="56">
        <f t="shared" si="3"/>
        <v>21836.79</v>
      </c>
      <c r="P15" s="258">
        <v>9</v>
      </c>
      <c r="Q15" s="57">
        <f t="shared" si="0"/>
        <v>395.39</v>
      </c>
      <c r="R15" s="56">
        <f t="shared" si="1"/>
        <v>21351.06</v>
      </c>
      <c r="S15" s="94">
        <f t="shared" si="4"/>
        <v>395</v>
      </c>
      <c r="T15" s="254">
        <f t="shared" si="5"/>
        <v>21330</v>
      </c>
    </row>
    <row r="16" spans="1:20" ht="15">
      <c r="A16" s="50">
        <f>завтрак!A15</f>
        <v>13</v>
      </c>
      <c r="B16" s="51" t="str">
        <f>полдник!B15</f>
        <v>Капуста белокачанная (1 сорт)</v>
      </c>
      <c r="C16" s="52" t="str">
        <f>полдник!C15</f>
        <v>кг</v>
      </c>
      <c r="D16" s="86">
        <f>обед!D15</f>
        <v>57</v>
      </c>
      <c r="E16" s="58">
        <f>завтрак!AA15</f>
        <v>0</v>
      </c>
      <c r="F16" s="55">
        <v>68</v>
      </c>
      <c r="G16" s="55">
        <f t="shared" si="6"/>
        <v>0</v>
      </c>
      <c r="H16" s="85">
        <f>обед!AA15</f>
        <v>205</v>
      </c>
      <c r="I16" s="55">
        <v>65</v>
      </c>
      <c r="J16" s="55">
        <f t="shared" si="7"/>
        <v>13.325</v>
      </c>
      <c r="K16" s="56">
        <f>полдник!AA15</f>
        <v>580</v>
      </c>
      <c r="L16" s="55"/>
      <c r="M16" s="57">
        <f t="shared" si="8"/>
        <v>0</v>
      </c>
      <c r="N16" s="55">
        <f t="shared" si="2"/>
        <v>13.325</v>
      </c>
      <c r="O16" s="56">
        <f t="shared" si="3"/>
        <v>759.53</v>
      </c>
      <c r="P16" s="258">
        <v>5</v>
      </c>
      <c r="Q16" s="57">
        <f t="shared" si="0"/>
        <v>8.33</v>
      </c>
      <c r="R16" s="56">
        <f t="shared" si="1"/>
        <v>474.81</v>
      </c>
      <c r="S16" s="94">
        <f t="shared" si="4"/>
        <v>8</v>
      </c>
      <c r="T16" s="254">
        <f t="shared" si="5"/>
        <v>456</v>
      </c>
    </row>
    <row r="17" spans="1:20" ht="15">
      <c r="A17" s="50">
        <f>завтрак!A16</f>
        <v>14</v>
      </c>
      <c r="B17" s="51" t="str">
        <f>полдник!B16</f>
        <v>Лук репчатый (1 сорт)</v>
      </c>
      <c r="C17" s="52" t="str">
        <f>полдник!C16</f>
        <v>кг</v>
      </c>
      <c r="D17" s="86">
        <f>обед!D16</f>
        <v>49</v>
      </c>
      <c r="E17" s="58">
        <f>завтрак!AA16</f>
        <v>60</v>
      </c>
      <c r="F17" s="55">
        <v>68</v>
      </c>
      <c r="G17" s="55">
        <f t="shared" si="6"/>
        <v>4.08</v>
      </c>
      <c r="H17" s="85">
        <f>обед!AA16</f>
        <v>837.5</v>
      </c>
      <c r="I17" s="55">
        <v>65</v>
      </c>
      <c r="J17" s="55">
        <f t="shared" si="7"/>
        <v>54.4375</v>
      </c>
      <c r="K17" s="56">
        <f>полдник!AA16</f>
        <v>170</v>
      </c>
      <c r="L17" s="55"/>
      <c r="M17" s="57">
        <f t="shared" si="8"/>
        <v>0</v>
      </c>
      <c r="N17" s="55">
        <f t="shared" si="2"/>
        <v>58.5175</v>
      </c>
      <c r="O17" s="56">
        <f t="shared" si="3"/>
        <v>2867.36</v>
      </c>
      <c r="P17" s="258">
        <v>4</v>
      </c>
      <c r="Q17" s="57">
        <f t="shared" si="0"/>
        <v>54.52</v>
      </c>
      <c r="R17" s="56">
        <f t="shared" si="1"/>
        <v>2671.48</v>
      </c>
      <c r="S17" s="94">
        <f t="shared" si="4"/>
        <v>55</v>
      </c>
      <c r="T17" s="254">
        <f t="shared" si="5"/>
        <v>2695</v>
      </c>
    </row>
    <row r="18" spans="1:20" ht="15">
      <c r="A18" s="50">
        <f>завтрак!A17</f>
        <v>15</v>
      </c>
      <c r="B18" s="51" t="str">
        <f>полдник!B17</f>
        <v>Морковь (1 сорт)</v>
      </c>
      <c r="C18" s="52" t="str">
        <f>полдник!C17</f>
        <v>кг</v>
      </c>
      <c r="D18" s="86">
        <f>обед!D17</f>
        <v>60</v>
      </c>
      <c r="E18" s="58">
        <f>завтрак!AA17</f>
        <v>60</v>
      </c>
      <c r="F18" s="55">
        <v>68</v>
      </c>
      <c r="G18" s="55">
        <f t="shared" si="6"/>
        <v>4.08</v>
      </c>
      <c r="H18" s="85">
        <f>обед!AA17</f>
        <v>655</v>
      </c>
      <c r="I18" s="55">
        <v>65</v>
      </c>
      <c r="J18" s="55">
        <f t="shared" si="7"/>
        <v>42.575</v>
      </c>
      <c r="K18" s="56">
        <f>полдник!AA17</f>
        <v>0</v>
      </c>
      <c r="L18" s="55"/>
      <c r="M18" s="57">
        <f t="shared" si="8"/>
        <v>0</v>
      </c>
      <c r="N18" s="55">
        <f t="shared" si="2"/>
        <v>46.655</v>
      </c>
      <c r="O18" s="56">
        <f t="shared" si="3"/>
        <v>2799.3</v>
      </c>
      <c r="P18" s="258">
        <v>2.8</v>
      </c>
      <c r="Q18" s="57">
        <f t="shared" si="0"/>
        <v>43.86</v>
      </c>
      <c r="R18" s="56">
        <f t="shared" si="1"/>
        <v>2631.6</v>
      </c>
      <c r="S18" s="94">
        <f t="shared" si="4"/>
        <v>44</v>
      </c>
      <c r="T18" s="254">
        <f t="shared" si="5"/>
        <v>2640</v>
      </c>
    </row>
    <row r="19" spans="1:20" ht="15">
      <c r="A19" s="50">
        <f>завтрак!A18</f>
        <v>16</v>
      </c>
      <c r="B19" s="51" t="str">
        <f>полдник!B18</f>
        <v>Свекла (1 сорт)</v>
      </c>
      <c r="C19" s="52" t="str">
        <f>полдник!C18</f>
        <v>кг</v>
      </c>
      <c r="D19" s="86">
        <f>обед!D18</f>
        <v>51</v>
      </c>
      <c r="E19" s="58">
        <f>завтрак!AA18</f>
        <v>0</v>
      </c>
      <c r="F19" s="55">
        <v>68</v>
      </c>
      <c r="G19" s="55">
        <f t="shared" si="6"/>
        <v>0</v>
      </c>
      <c r="H19" s="85">
        <f>обед!AA18</f>
        <v>730</v>
      </c>
      <c r="I19" s="55">
        <v>65</v>
      </c>
      <c r="J19" s="55">
        <f t="shared" si="7"/>
        <v>47.45</v>
      </c>
      <c r="K19" s="56">
        <f>полдник!AA18</f>
        <v>0</v>
      </c>
      <c r="L19" s="55"/>
      <c r="M19" s="57">
        <f t="shared" si="8"/>
        <v>0</v>
      </c>
      <c r="N19" s="55">
        <f t="shared" si="2"/>
        <v>47.45</v>
      </c>
      <c r="O19" s="56">
        <f t="shared" si="3"/>
        <v>2419.95</v>
      </c>
      <c r="P19" s="258">
        <v>3</v>
      </c>
      <c r="Q19" s="57">
        <f t="shared" si="0"/>
        <v>44.45</v>
      </c>
      <c r="R19" s="56">
        <f t="shared" si="1"/>
        <v>2266.95</v>
      </c>
      <c r="S19" s="94">
        <f t="shared" si="4"/>
        <v>44</v>
      </c>
      <c r="T19" s="254">
        <f t="shared" si="5"/>
        <v>2244</v>
      </c>
    </row>
    <row r="20" spans="1:20" ht="30">
      <c r="A20" s="50">
        <f>завтрак!A19</f>
        <v>17</v>
      </c>
      <c r="B20" s="51" t="str">
        <f>полдник!B19</f>
        <v>Огурцы консервированные без уксуса (1 с)</v>
      </c>
      <c r="C20" s="52" t="str">
        <f>полдник!C19</f>
        <v>кг</v>
      </c>
      <c r="D20" s="86">
        <f>обед!D19</f>
        <v>74</v>
      </c>
      <c r="E20" s="58">
        <f>завтрак!AA19</f>
        <v>315</v>
      </c>
      <c r="F20" s="55">
        <v>68</v>
      </c>
      <c r="G20" s="55">
        <f t="shared" si="6"/>
        <v>21.42</v>
      </c>
      <c r="H20" s="85">
        <f>обед!AA19</f>
        <v>80</v>
      </c>
      <c r="I20" s="55">
        <v>65</v>
      </c>
      <c r="J20" s="55">
        <f t="shared" si="7"/>
        <v>5.2</v>
      </c>
      <c r="K20" s="56">
        <f>полдник!AA19</f>
        <v>0</v>
      </c>
      <c r="L20" s="55"/>
      <c r="M20" s="57">
        <f t="shared" si="8"/>
        <v>0</v>
      </c>
      <c r="N20" s="55">
        <f t="shared" si="2"/>
        <v>26.62</v>
      </c>
      <c r="O20" s="56">
        <f t="shared" si="3"/>
        <v>1969.88</v>
      </c>
      <c r="P20" s="258">
        <v>3</v>
      </c>
      <c r="Q20" s="57">
        <f t="shared" si="0"/>
        <v>23.62</v>
      </c>
      <c r="R20" s="56">
        <f t="shared" si="1"/>
        <v>1747.88</v>
      </c>
      <c r="S20" s="94">
        <f t="shared" si="4"/>
        <v>24</v>
      </c>
      <c r="T20" s="254">
        <f t="shared" si="5"/>
        <v>1776</v>
      </c>
    </row>
    <row r="21" spans="1:20" ht="30">
      <c r="A21" s="50">
        <f>завтрак!A20</f>
        <v>18</v>
      </c>
      <c r="B21" s="51" t="str">
        <f>полдник!B20</f>
        <v>Икра кабачковая для дет. питания</v>
      </c>
      <c r="C21" s="52" t="str">
        <f>полдник!C20</f>
        <v>кг</v>
      </c>
      <c r="D21" s="86">
        <f>обед!D20</f>
        <v>123</v>
      </c>
      <c r="E21" s="58">
        <f>завтрак!AA20</f>
        <v>125</v>
      </c>
      <c r="F21" s="55">
        <v>68</v>
      </c>
      <c r="G21" s="55">
        <f t="shared" si="6"/>
        <v>8.5</v>
      </c>
      <c r="H21" s="85">
        <f>обед!AA20</f>
        <v>0</v>
      </c>
      <c r="I21" s="55">
        <v>65</v>
      </c>
      <c r="J21" s="55">
        <f t="shared" si="7"/>
        <v>0</v>
      </c>
      <c r="K21" s="56">
        <f>полдник!AA20</f>
        <v>0</v>
      </c>
      <c r="L21" s="55"/>
      <c r="M21" s="57">
        <f t="shared" si="8"/>
        <v>0</v>
      </c>
      <c r="N21" s="55">
        <f t="shared" si="2"/>
        <v>8.5</v>
      </c>
      <c r="O21" s="56">
        <f t="shared" si="3"/>
        <v>1045.5</v>
      </c>
      <c r="P21" s="258"/>
      <c r="Q21" s="57">
        <f t="shared" si="0"/>
        <v>8.5</v>
      </c>
      <c r="R21" s="56">
        <f t="shared" si="1"/>
        <v>1045.5</v>
      </c>
      <c r="S21" s="94">
        <f t="shared" si="4"/>
        <v>9</v>
      </c>
      <c r="T21" s="254">
        <f t="shared" si="5"/>
        <v>1107</v>
      </c>
    </row>
    <row r="22" spans="1:20" ht="30">
      <c r="A22" s="50">
        <f>завтрак!A21</f>
        <v>19</v>
      </c>
      <c r="B22" s="51" t="str">
        <f>полдник!B21</f>
        <v>Горошек зеленый (сорт салатный)</v>
      </c>
      <c r="C22" s="52" t="str">
        <f>полдник!C21</f>
        <v>кг</v>
      </c>
      <c r="D22" s="86">
        <f>обед!D21</f>
        <v>123</v>
      </c>
      <c r="E22" s="58">
        <f>завтрак!AA21</f>
        <v>0</v>
      </c>
      <c r="F22" s="55">
        <v>68</v>
      </c>
      <c r="G22" s="55">
        <f t="shared" si="6"/>
        <v>0</v>
      </c>
      <c r="H22" s="85">
        <f>обед!AA21</f>
        <v>0</v>
      </c>
      <c r="I22" s="55">
        <v>65</v>
      </c>
      <c r="J22" s="55">
        <f t="shared" si="7"/>
        <v>0</v>
      </c>
      <c r="K22" s="56">
        <f>полдник!AA21</f>
        <v>0</v>
      </c>
      <c r="L22" s="55"/>
      <c r="M22" s="57">
        <f t="shared" si="8"/>
        <v>0</v>
      </c>
      <c r="N22" s="55">
        <f t="shared" si="2"/>
        <v>0</v>
      </c>
      <c r="O22" s="56">
        <f t="shared" si="3"/>
        <v>0</v>
      </c>
      <c r="P22" s="258"/>
      <c r="Q22" s="57">
        <f t="shared" si="0"/>
        <v>0</v>
      </c>
      <c r="R22" s="56">
        <f t="shared" si="1"/>
        <v>0</v>
      </c>
      <c r="S22" s="94">
        <f t="shared" si="4"/>
        <v>0</v>
      </c>
      <c r="T22" s="254">
        <f t="shared" si="5"/>
        <v>0</v>
      </c>
    </row>
    <row r="23" spans="1:20" ht="30">
      <c r="A23" s="50">
        <f>завтрак!A22</f>
        <v>20</v>
      </c>
      <c r="B23" s="51" t="str">
        <f>полдник!B22</f>
        <v>Томатная паста с содержанием с/в (25-30%)</v>
      </c>
      <c r="C23" s="52" t="str">
        <f>полдник!C22</f>
        <v>кг</v>
      </c>
      <c r="D23" s="86">
        <f>обед!D22</f>
        <v>142</v>
      </c>
      <c r="E23" s="58">
        <f>завтрак!AA22</f>
        <v>35</v>
      </c>
      <c r="F23" s="55">
        <v>68</v>
      </c>
      <c r="G23" s="55">
        <f t="shared" si="6"/>
        <v>2.38</v>
      </c>
      <c r="H23" s="85">
        <f>обед!AA22</f>
        <v>55</v>
      </c>
      <c r="I23" s="55">
        <v>65</v>
      </c>
      <c r="J23" s="55">
        <f t="shared" si="7"/>
        <v>3.575</v>
      </c>
      <c r="K23" s="56">
        <f>полдник!AA22</f>
        <v>0</v>
      </c>
      <c r="L23" s="55"/>
      <c r="M23" s="57">
        <f t="shared" si="8"/>
        <v>0</v>
      </c>
      <c r="N23" s="55">
        <f t="shared" si="2"/>
        <v>5.955</v>
      </c>
      <c r="O23" s="56">
        <f t="shared" si="3"/>
        <v>845.61</v>
      </c>
      <c r="P23" s="258"/>
      <c r="Q23" s="57">
        <f t="shared" si="0"/>
        <v>5.96</v>
      </c>
      <c r="R23" s="56">
        <f t="shared" si="1"/>
        <v>846.32</v>
      </c>
      <c r="S23" s="94">
        <f t="shared" si="4"/>
        <v>6</v>
      </c>
      <c r="T23" s="254">
        <f t="shared" si="5"/>
        <v>852</v>
      </c>
    </row>
    <row r="24" spans="1:20" ht="15">
      <c r="A24" s="50">
        <f>завтрак!A23</f>
        <v>21</v>
      </c>
      <c r="B24" s="51" t="str">
        <f>полдник!B23</f>
        <v>Яблоки свежие (1 сорт)</v>
      </c>
      <c r="C24" s="52" t="str">
        <f>полдник!C23</f>
        <v>кг</v>
      </c>
      <c r="D24" s="86">
        <f>обед!D23</f>
        <v>110</v>
      </c>
      <c r="E24" s="58">
        <f>завтрак!AA23</f>
        <v>0</v>
      </c>
      <c r="F24" s="55">
        <v>68</v>
      </c>
      <c r="G24" s="55">
        <f t="shared" si="6"/>
        <v>0</v>
      </c>
      <c r="H24" s="85">
        <f>обед!AA23</f>
        <v>0</v>
      </c>
      <c r="I24" s="55">
        <v>65</v>
      </c>
      <c r="J24" s="55">
        <f t="shared" si="7"/>
        <v>0</v>
      </c>
      <c r="K24" s="56">
        <f>полдник!AA23</f>
        <v>0</v>
      </c>
      <c r="L24" s="55"/>
      <c r="M24" s="57">
        <f t="shared" si="8"/>
        <v>0</v>
      </c>
      <c r="N24" s="55">
        <f t="shared" si="2"/>
        <v>0</v>
      </c>
      <c r="O24" s="56">
        <f t="shared" si="3"/>
        <v>0</v>
      </c>
      <c r="P24" s="258">
        <v>2</v>
      </c>
      <c r="Q24" s="57">
        <f t="shared" si="0"/>
        <v>-2</v>
      </c>
      <c r="R24" s="56">
        <f t="shared" si="1"/>
        <v>-220</v>
      </c>
      <c r="S24" s="94">
        <v>0</v>
      </c>
      <c r="T24" s="254">
        <f t="shared" si="5"/>
        <v>0</v>
      </c>
    </row>
    <row r="25" spans="1:20" ht="15">
      <c r="A25" s="50">
        <f>завтрак!A24</f>
        <v>22</v>
      </c>
      <c r="B25" s="51" t="str">
        <f>полдник!B24</f>
        <v>Бананы свежие (1 сорт)</v>
      </c>
      <c r="C25" s="52" t="str">
        <f>полдник!C24</f>
        <v>кг</v>
      </c>
      <c r="D25" s="86">
        <f>обед!D24</f>
        <v>172</v>
      </c>
      <c r="E25" s="58">
        <f>завтрак!AA24</f>
        <v>0</v>
      </c>
      <c r="F25" s="55">
        <v>68</v>
      </c>
      <c r="G25" s="55">
        <f t="shared" si="6"/>
        <v>0</v>
      </c>
      <c r="H25" s="85">
        <f>обед!AA24</f>
        <v>0</v>
      </c>
      <c r="I25" s="55">
        <v>65</v>
      </c>
      <c r="J25" s="55">
        <f t="shared" si="7"/>
        <v>0</v>
      </c>
      <c r="K25" s="56">
        <f>полдник!AA24</f>
        <v>0</v>
      </c>
      <c r="L25" s="55"/>
      <c r="M25" s="57">
        <f t="shared" si="8"/>
        <v>0</v>
      </c>
      <c r="N25" s="55">
        <f t="shared" si="2"/>
        <v>0</v>
      </c>
      <c r="O25" s="56">
        <f t="shared" si="3"/>
        <v>0</v>
      </c>
      <c r="P25" s="258"/>
      <c r="Q25" s="57">
        <f t="shared" si="0"/>
        <v>0</v>
      </c>
      <c r="R25" s="56">
        <f t="shared" si="1"/>
        <v>0</v>
      </c>
      <c r="S25" s="94">
        <f t="shared" si="4"/>
        <v>0</v>
      </c>
      <c r="T25" s="254">
        <f t="shared" si="5"/>
        <v>0</v>
      </c>
    </row>
    <row r="26" spans="1:20" ht="15">
      <c r="A26" s="50">
        <f>завтрак!A25</f>
        <v>23</v>
      </c>
      <c r="B26" s="51" t="str">
        <f>полдник!B25</f>
        <v>Сухофрукты ассорти</v>
      </c>
      <c r="C26" s="52" t="str">
        <f>полдник!C25</f>
        <v>кг</v>
      </c>
      <c r="D26" s="86">
        <f>обед!D25</f>
        <v>140</v>
      </c>
      <c r="E26" s="58">
        <f>завтрак!AA25</f>
        <v>0</v>
      </c>
      <c r="F26" s="55">
        <v>68</v>
      </c>
      <c r="G26" s="55">
        <f t="shared" si="6"/>
        <v>0</v>
      </c>
      <c r="H26" s="85">
        <f>обед!AA25</f>
        <v>530</v>
      </c>
      <c r="I26" s="55">
        <v>65</v>
      </c>
      <c r="J26" s="55">
        <f t="shared" si="7"/>
        <v>34.45</v>
      </c>
      <c r="K26" s="56">
        <f>полдник!AA25</f>
        <v>0</v>
      </c>
      <c r="L26" s="55"/>
      <c r="M26" s="57">
        <f t="shared" si="8"/>
        <v>0</v>
      </c>
      <c r="N26" s="55">
        <f t="shared" si="2"/>
        <v>34.45</v>
      </c>
      <c r="O26" s="56">
        <f t="shared" si="3"/>
        <v>4823</v>
      </c>
      <c r="P26" s="258"/>
      <c r="Q26" s="57">
        <f t="shared" si="0"/>
        <v>34.45</v>
      </c>
      <c r="R26" s="56">
        <f t="shared" si="1"/>
        <v>4823</v>
      </c>
      <c r="S26" s="94">
        <f t="shared" si="4"/>
        <v>34</v>
      </c>
      <c r="T26" s="254">
        <f t="shared" si="5"/>
        <v>4760</v>
      </c>
    </row>
    <row r="27" spans="1:20" ht="15">
      <c r="A27" s="50">
        <f>завтрак!A26</f>
        <v>24</v>
      </c>
      <c r="B27" s="51" t="str">
        <f>полдник!B26</f>
        <v>Изюм</v>
      </c>
      <c r="C27" s="52" t="str">
        <f>полдник!C26</f>
        <v>кг</v>
      </c>
      <c r="D27" s="86">
        <f>обед!D26</f>
        <v>293</v>
      </c>
      <c r="E27" s="58">
        <f>завтрак!AA26</f>
        <v>0</v>
      </c>
      <c r="F27" s="55">
        <v>68</v>
      </c>
      <c r="G27" s="55">
        <f t="shared" si="6"/>
        <v>0</v>
      </c>
      <c r="H27" s="85">
        <f>обед!AA26</f>
        <v>0</v>
      </c>
      <c r="I27" s="55">
        <v>65</v>
      </c>
      <c r="J27" s="55">
        <f t="shared" si="7"/>
        <v>0</v>
      </c>
      <c r="K27" s="56">
        <f>полдник!AA26</f>
        <v>40</v>
      </c>
      <c r="L27" s="55"/>
      <c r="M27" s="57">
        <f t="shared" si="8"/>
        <v>0</v>
      </c>
      <c r="N27" s="55">
        <f t="shared" si="2"/>
        <v>0</v>
      </c>
      <c r="O27" s="56">
        <f t="shared" si="3"/>
        <v>0</v>
      </c>
      <c r="P27" s="258"/>
      <c r="Q27" s="57">
        <f t="shared" si="0"/>
        <v>0</v>
      </c>
      <c r="R27" s="56">
        <f t="shared" si="1"/>
        <v>0</v>
      </c>
      <c r="S27" s="94">
        <f t="shared" si="4"/>
        <v>0</v>
      </c>
      <c r="T27" s="254">
        <f t="shared" si="5"/>
        <v>0</v>
      </c>
    </row>
    <row r="28" spans="1:20" ht="15">
      <c r="A28" s="50">
        <f>завтрак!A27</f>
        <v>25</v>
      </c>
      <c r="B28" s="51" t="str">
        <f>полдник!B27</f>
        <v>Повидло фруктовое (1 сорт)</v>
      </c>
      <c r="C28" s="52" t="str">
        <f>полдник!C27</f>
        <v>кг</v>
      </c>
      <c r="D28" s="86">
        <f>обед!D27</f>
        <v>147</v>
      </c>
      <c r="E28" s="58">
        <f>завтрак!AA27</f>
        <v>0</v>
      </c>
      <c r="F28" s="55">
        <v>68</v>
      </c>
      <c r="G28" s="55">
        <f t="shared" si="6"/>
        <v>0</v>
      </c>
      <c r="H28" s="85">
        <f>обед!AA27</f>
        <v>0</v>
      </c>
      <c r="I28" s="55">
        <v>65</v>
      </c>
      <c r="J28" s="55">
        <f t="shared" si="7"/>
        <v>0</v>
      </c>
      <c r="K28" s="56">
        <f>полдник!AA27</f>
        <v>50</v>
      </c>
      <c r="L28" s="55"/>
      <c r="M28" s="57">
        <f t="shared" si="8"/>
        <v>0</v>
      </c>
      <c r="N28" s="55">
        <f t="shared" si="2"/>
        <v>0</v>
      </c>
      <c r="O28" s="56">
        <f t="shared" si="3"/>
        <v>0</v>
      </c>
      <c r="P28" s="258"/>
      <c r="Q28" s="57">
        <f t="shared" si="0"/>
        <v>0</v>
      </c>
      <c r="R28" s="56">
        <f t="shared" si="1"/>
        <v>0</v>
      </c>
      <c r="S28" s="94">
        <f t="shared" si="4"/>
        <v>0</v>
      </c>
      <c r="T28" s="254">
        <f t="shared" si="5"/>
        <v>0</v>
      </c>
    </row>
    <row r="29" spans="1:20" ht="15">
      <c r="A29" s="50">
        <f>завтрак!A28</f>
        <v>26</v>
      </c>
      <c r="B29" s="51" t="str">
        <f>полдник!B28</f>
        <v>Сок фруктовый (1 литр)</v>
      </c>
      <c r="C29" s="52" t="str">
        <f>полдник!C28</f>
        <v>л</v>
      </c>
      <c r="D29" s="86">
        <f>обед!D28</f>
        <v>62</v>
      </c>
      <c r="E29" s="58">
        <f>завтрак!AA28</f>
        <v>0</v>
      </c>
      <c r="F29" s="55">
        <v>68</v>
      </c>
      <c r="G29" s="55">
        <f t="shared" si="6"/>
        <v>0</v>
      </c>
      <c r="H29" s="85">
        <f>обед!AA28</f>
        <v>0</v>
      </c>
      <c r="I29" s="55">
        <v>65</v>
      </c>
      <c r="J29" s="55">
        <f t="shared" si="7"/>
        <v>0</v>
      </c>
      <c r="K29" s="56">
        <f>полдник!AA28</f>
        <v>8250</v>
      </c>
      <c r="L29" s="55"/>
      <c r="M29" s="57">
        <f t="shared" si="8"/>
        <v>0</v>
      </c>
      <c r="N29" s="55">
        <f t="shared" si="2"/>
        <v>0</v>
      </c>
      <c r="O29" s="56">
        <f t="shared" si="3"/>
        <v>0</v>
      </c>
      <c r="P29" s="258"/>
      <c r="Q29" s="57">
        <f t="shared" si="0"/>
        <v>0</v>
      </c>
      <c r="R29" s="56">
        <f t="shared" si="1"/>
        <v>0</v>
      </c>
      <c r="S29" s="94">
        <f t="shared" si="4"/>
        <v>0</v>
      </c>
      <c r="T29" s="254">
        <f t="shared" si="5"/>
        <v>0</v>
      </c>
    </row>
    <row r="30" spans="1:20" ht="30">
      <c r="A30" s="50">
        <f>завтрак!A29</f>
        <v>27</v>
      </c>
      <c r="B30" s="51" t="str">
        <f>полдник!B29</f>
        <v>Масло растительное, рафинированное</v>
      </c>
      <c r="C30" s="52" t="str">
        <f>полдник!C29</f>
        <v>кг</v>
      </c>
      <c r="D30" s="86">
        <f>обед!D29</f>
        <v>145</v>
      </c>
      <c r="E30" s="58">
        <f>завтрак!AA29</f>
        <v>35</v>
      </c>
      <c r="F30" s="55">
        <v>68</v>
      </c>
      <c r="G30" s="55">
        <f t="shared" si="6"/>
        <v>2.38</v>
      </c>
      <c r="H30" s="85">
        <f>обед!AA29</f>
        <v>345</v>
      </c>
      <c r="I30" s="55">
        <v>65</v>
      </c>
      <c r="J30" s="55">
        <f t="shared" si="7"/>
        <v>22.425</v>
      </c>
      <c r="K30" s="56">
        <f>полдник!AA29</f>
        <v>170</v>
      </c>
      <c r="L30" s="55"/>
      <c r="M30" s="57">
        <f t="shared" si="8"/>
        <v>0</v>
      </c>
      <c r="N30" s="55">
        <f t="shared" si="2"/>
        <v>24.805</v>
      </c>
      <c r="O30" s="56">
        <f t="shared" si="3"/>
        <v>3596.73</v>
      </c>
      <c r="P30" s="258">
        <v>1.8</v>
      </c>
      <c r="Q30" s="57">
        <f t="shared" si="0"/>
        <v>23.01</v>
      </c>
      <c r="R30" s="56">
        <f t="shared" si="1"/>
        <v>3336.45</v>
      </c>
      <c r="S30" s="94">
        <f t="shared" si="4"/>
        <v>23</v>
      </c>
      <c r="T30" s="254">
        <f t="shared" si="5"/>
        <v>3335</v>
      </c>
    </row>
    <row r="31" spans="1:20" ht="15">
      <c r="A31" s="50">
        <f>завтрак!A30</f>
        <v>28</v>
      </c>
      <c r="B31" s="51" t="str">
        <f>полдник!B30</f>
        <v>Рыба с/м (1 сорт), минтай</v>
      </c>
      <c r="C31" s="52" t="str">
        <f>полдник!C30</f>
        <v>кг</v>
      </c>
      <c r="D31" s="86">
        <f>обед!D30</f>
        <v>210</v>
      </c>
      <c r="E31" s="58">
        <f>завтрак!AA30</f>
        <v>0</v>
      </c>
      <c r="F31" s="55">
        <v>68</v>
      </c>
      <c r="G31" s="55">
        <f t="shared" si="6"/>
        <v>0</v>
      </c>
      <c r="H31" s="85">
        <f>обед!AA30</f>
        <v>735</v>
      </c>
      <c r="I31" s="55">
        <v>65</v>
      </c>
      <c r="J31" s="55">
        <f t="shared" si="7"/>
        <v>47.775</v>
      </c>
      <c r="K31" s="56">
        <f>полдник!AA30</f>
        <v>0</v>
      </c>
      <c r="L31" s="55"/>
      <c r="M31" s="57">
        <f t="shared" si="8"/>
        <v>0</v>
      </c>
      <c r="N31" s="55">
        <f t="shared" si="2"/>
        <v>47.775</v>
      </c>
      <c r="O31" s="56">
        <f t="shared" si="3"/>
        <v>10032.75</v>
      </c>
      <c r="P31" s="258">
        <v>3</v>
      </c>
      <c r="Q31" s="57">
        <f t="shared" si="0"/>
        <v>44.78</v>
      </c>
      <c r="R31" s="56">
        <f t="shared" si="1"/>
        <v>9403.8</v>
      </c>
      <c r="S31" s="94">
        <f t="shared" si="4"/>
        <v>45</v>
      </c>
      <c r="T31" s="254">
        <f t="shared" si="5"/>
        <v>9450</v>
      </c>
    </row>
    <row r="32" spans="1:20" ht="15">
      <c r="A32" s="50">
        <f>завтрак!A31</f>
        <v>29</v>
      </c>
      <c r="B32" s="51">
        <f>полдник!B31</f>
        <v>0</v>
      </c>
      <c r="C32" s="52">
        <f>полдник!C31</f>
        <v>0</v>
      </c>
      <c r="D32" s="86">
        <f>обед!D31</f>
        <v>0</v>
      </c>
      <c r="E32" s="58">
        <f>завтрак!AA31</f>
        <v>0</v>
      </c>
      <c r="F32" s="55">
        <v>68</v>
      </c>
      <c r="G32" s="55">
        <f t="shared" si="6"/>
        <v>0</v>
      </c>
      <c r="H32" s="85">
        <f>обед!AA31</f>
        <v>0</v>
      </c>
      <c r="I32" s="55">
        <v>65</v>
      </c>
      <c r="J32" s="55">
        <f t="shared" si="7"/>
        <v>0</v>
      </c>
      <c r="K32" s="56">
        <f>полдник!AA31</f>
        <v>0</v>
      </c>
      <c r="L32" s="55"/>
      <c r="M32" s="57">
        <f t="shared" si="8"/>
        <v>0</v>
      </c>
      <c r="N32" s="55">
        <f t="shared" si="2"/>
        <v>0</v>
      </c>
      <c r="O32" s="56">
        <f t="shared" si="3"/>
        <v>0</v>
      </c>
      <c r="P32" s="258"/>
      <c r="Q32" s="57">
        <f t="shared" si="0"/>
        <v>0</v>
      </c>
      <c r="R32" s="56">
        <f t="shared" si="1"/>
        <v>0</v>
      </c>
      <c r="S32" s="94">
        <f t="shared" si="4"/>
        <v>0</v>
      </c>
      <c r="T32" s="254">
        <f t="shared" si="5"/>
        <v>0</v>
      </c>
    </row>
    <row r="33" spans="1:20" ht="15" customHeight="1">
      <c r="A33" s="50">
        <f>завтрак!A32</f>
        <v>30</v>
      </c>
      <c r="B33" s="51" t="str">
        <f>полдник!B32</f>
        <v>Мука пшеничная (высший сорт)</v>
      </c>
      <c r="C33" s="52" t="str">
        <f>полдник!C32</f>
        <v>кг</v>
      </c>
      <c r="D33" s="86">
        <f>обед!D32</f>
        <v>40</v>
      </c>
      <c r="E33" s="58">
        <f>завтрак!AA32</f>
        <v>797.5</v>
      </c>
      <c r="F33" s="55">
        <v>68</v>
      </c>
      <c r="G33" s="55">
        <f t="shared" si="6"/>
        <v>54.23</v>
      </c>
      <c r="H33" s="85">
        <f>обед!AA32</f>
        <v>125</v>
      </c>
      <c r="I33" s="55">
        <v>65</v>
      </c>
      <c r="J33" s="55">
        <f t="shared" si="7"/>
        <v>8.125</v>
      </c>
      <c r="K33" s="56">
        <f>полдник!AA32</f>
        <v>2422.5</v>
      </c>
      <c r="L33" s="55"/>
      <c r="M33" s="57">
        <f t="shared" si="8"/>
        <v>0</v>
      </c>
      <c r="N33" s="55">
        <f t="shared" si="2"/>
        <v>62.355</v>
      </c>
      <c r="O33" s="56">
        <f t="shared" si="3"/>
        <v>2494.2</v>
      </c>
      <c r="P33" s="258"/>
      <c r="Q33" s="57">
        <f t="shared" si="0"/>
        <v>62.36</v>
      </c>
      <c r="R33" s="56">
        <f t="shared" si="1"/>
        <v>2494.4</v>
      </c>
      <c r="S33" s="94">
        <f t="shared" si="4"/>
        <v>62</v>
      </c>
      <c r="T33" s="254">
        <f t="shared" si="5"/>
        <v>2480</v>
      </c>
    </row>
    <row r="34" spans="1:20" ht="15">
      <c r="A34" s="50">
        <f>завтрак!A33</f>
        <v>31</v>
      </c>
      <c r="B34" s="51" t="str">
        <f>полдник!B33</f>
        <v>Крупа гречневая, в инд. уп.</v>
      </c>
      <c r="C34" s="52" t="str">
        <f>полдник!C33</f>
        <v>кг</v>
      </c>
      <c r="D34" s="86">
        <f>обед!D33</f>
        <v>85</v>
      </c>
      <c r="E34" s="58">
        <f>завтрак!AA33</f>
        <v>110</v>
      </c>
      <c r="F34" s="55">
        <v>68</v>
      </c>
      <c r="G34" s="55">
        <f t="shared" si="6"/>
        <v>7.48</v>
      </c>
      <c r="H34" s="85">
        <f>обед!AA33</f>
        <v>290</v>
      </c>
      <c r="I34" s="55">
        <v>65</v>
      </c>
      <c r="J34" s="55">
        <f t="shared" si="7"/>
        <v>18.85</v>
      </c>
      <c r="K34" s="56">
        <f>полдник!AA33</f>
        <v>0</v>
      </c>
      <c r="L34" s="55"/>
      <c r="M34" s="57">
        <f t="shared" si="8"/>
        <v>0</v>
      </c>
      <c r="N34" s="55">
        <f t="shared" si="2"/>
        <v>26.33</v>
      </c>
      <c r="O34" s="56">
        <f t="shared" si="3"/>
        <v>2238.05</v>
      </c>
      <c r="P34" s="258">
        <v>2</v>
      </c>
      <c r="Q34" s="57">
        <f t="shared" si="0"/>
        <v>24.33</v>
      </c>
      <c r="R34" s="56">
        <f t="shared" si="1"/>
        <v>2068.05</v>
      </c>
      <c r="S34" s="94">
        <f t="shared" si="4"/>
        <v>24</v>
      </c>
      <c r="T34" s="254">
        <f t="shared" si="5"/>
        <v>2040</v>
      </c>
    </row>
    <row r="35" spans="1:20" ht="30">
      <c r="A35" s="50">
        <f>завтрак!A34</f>
        <v>32</v>
      </c>
      <c r="B35" s="51" t="str">
        <f>полдник!B34</f>
        <v>Крупа манная (1 сорт), в инд. уп.</v>
      </c>
      <c r="C35" s="52" t="str">
        <f>полдник!C34</f>
        <v>кг</v>
      </c>
      <c r="D35" s="86">
        <f>обед!D34</f>
        <v>58</v>
      </c>
      <c r="E35" s="58">
        <f>завтрак!AA34</f>
        <v>100</v>
      </c>
      <c r="F35" s="55">
        <v>68</v>
      </c>
      <c r="G35" s="55">
        <f t="shared" si="6"/>
        <v>6.8</v>
      </c>
      <c r="H35" s="85">
        <f>обед!AA34</f>
        <v>0</v>
      </c>
      <c r="I35" s="55">
        <v>65</v>
      </c>
      <c r="J35" s="55">
        <f t="shared" si="7"/>
        <v>0</v>
      </c>
      <c r="K35" s="56">
        <f>полдник!AA34</f>
        <v>0</v>
      </c>
      <c r="L35" s="55"/>
      <c r="M35" s="57">
        <f t="shared" si="8"/>
        <v>0</v>
      </c>
      <c r="N35" s="55">
        <f t="shared" si="2"/>
        <v>6.8</v>
      </c>
      <c r="O35" s="56">
        <f t="shared" si="3"/>
        <v>394.4</v>
      </c>
      <c r="P35" s="258"/>
      <c r="Q35" s="57">
        <f t="shared" si="0"/>
        <v>6.8</v>
      </c>
      <c r="R35" s="56">
        <f t="shared" si="1"/>
        <v>394.4</v>
      </c>
      <c r="S35" s="94">
        <f t="shared" si="4"/>
        <v>7</v>
      </c>
      <c r="T35" s="254">
        <f t="shared" si="5"/>
        <v>406</v>
      </c>
    </row>
    <row r="36" spans="1:20" ht="15">
      <c r="A36" s="50">
        <f>завтрак!A35</f>
        <v>33</v>
      </c>
      <c r="B36" s="51" t="str">
        <f>полдник!B35</f>
        <v>Рис (1 сорт), в инд. уп.</v>
      </c>
      <c r="C36" s="52" t="str">
        <f>полдник!C35</f>
        <v>кг</v>
      </c>
      <c r="D36" s="86">
        <f>обед!D35</f>
        <v>116</v>
      </c>
      <c r="E36" s="58">
        <f>завтрак!AA35</f>
        <v>90</v>
      </c>
      <c r="F36" s="55">
        <v>68</v>
      </c>
      <c r="G36" s="55">
        <f t="shared" si="6"/>
        <v>6.12</v>
      </c>
      <c r="H36" s="85">
        <f>обед!AA35</f>
        <v>545</v>
      </c>
      <c r="I36" s="55">
        <v>65</v>
      </c>
      <c r="J36" s="55">
        <f t="shared" si="7"/>
        <v>35.425</v>
      </c>
      <c r="K36" s="56">
        <f>полдник!AA35</f>
        <v>0</v>
      </c>
      <c r="L36" s="55"/>
      <c r="M36" s="57">
        <f t="shared" si="8"/>
        <v>0</v>
      </c>
      <c r="N36" s="55">
        <f t="shared" si="2"/>
        <v>41.545</v>
      </c>
      <c r="O36" s="56">
        <f t="shared" si="3"/>
        <v>4819.22</v>
      </c>
      <c r="P36" s="258">
        <v>6</v>
      </c>
      <c r="Q36" s="57">
        <f t="shared" si="0"/>
        <v>35.55</v>
      </c>
      <c r="R36" s="56">
        <f aca="true" t="shared" si="9" ref="R36:R56">Q36*D36</f>
        <v>4123.8</v>
      </c>
      <c r="S36" s="94">
        <f t="shared" si="4"/>
        <v>36</v>
      </c>
      <c r="T36" s="254">
        <f t="shared" si="5"/>
        <v>4176</v>
      </c>
    </row>
    <row r="37" spans="1:20" ht="30">
      <c r="A37" s="50">
        <f>завтрак!A36</f>
        <v>34</v>
      </c>
      <c r="B37" s="51" t="str">
        <f>полдник!B36</f>
        <v>Крупа пшеничная (1 сорт), в инд уп.</v>
      </c>
      <c r="C37" s="52" t="str">
        <f>полдник!C36</f>
        <v>кг</v>
      </c>
      <c r="D37" s="86">
        <f>обед!D36</f>
        <v>58</v>
      </c>
      <c r="E37" s="58">
        <f>завтрак!AA36</f>
        <v>0</v>
      </c>
      <c r="F37" s="55">
        <v>68</v>
      </c>
      <c r="G37" s="55">
        <f t="shared" si="6"/>
        <v>0</v>
      </c>
      <c r="H37" s="85">
        <f>обед!AA36</f>
        <v>190</v>
      </c>
      <c r="I37" s="55">
        <v>65</v>
      </c>
      <c r="J37" s="55">
        <f t="shared" si="7"/>
        <v>12.35</v>
      </c>
      <c r="K37" s="56">
        <f>полдник!AA36</f>
        <v>0</v>
      </c>
      <c r="L37" s="55"/>
      <c r="M37" s="57">
        <f t="shared" si="8"/>
        <v>0</v>
      </c>
      <c r="N37" s="55">
        <f t="shared" si="2"/>
        <v>12.35</v>
      </c>
      <c r="O37" s="56">
        <f t="shared" si="3"/>
        <v>716.3</v>
      </c>
      <c r="P37" s="258"/>
      <c r="Q37" s="57">
        <f t="shared" si="0"/>
        <v>12.35</v>
      </c>
      <c r="R37" s="56">
        <f t="shared" si="9"/>
        <v>716.3</v>
      </c>
      <c r="S37" s="94">
        <f t="shared" si="4"/>
        <v>12</v>
      </c>
      <c r="T37" s="254">
        <f t="shared" si="5"/>
        <v>696</v>
      </c>
    </row>
    <row r="38" spans="1:20" ht="15">
      <c r="A38" s="50">
        <f>завтрак!A37</f>
        <v>35</v>
      </c>
      <c r="B38" s="51" t="str">
        <f>полдник!B37</f>
        <v>Пшено (1 сорт), в инд. уп.</v>
      </c>
      <c r="C38" s="52" t="str">
        <f>полдник!C37</f>
        <v>кг</v>
      </c>
      <c r="D38" s="86">
        <f>обед!D37</f>
        <v>57</v>
      </c>
      <c r="E38" s="58">
        <f>завтрак!AA37</f>
        <v>0</v>
      </c>
      <c r="F38" s="55">
        <v>68</v>
      </c>
      <c r="G38" s="55">
        <f t="shared" si="6"/>
        <v>0</v>
      </c>
      <c r="H38" s="85">
        <f>обед!AA37</f>
        <v>220</v>
      </c>
      <c r="I38" s="55">
        <v>65</v>
      </c>
      <c r="J38" s="55">
        <f t="shared" si="7"/>
        <v>14.3</v>
      </c>
      <c r="K38" s="56">
        <f>полдник!AA37</f>
        <v>0</v>
      </c>
      <c r="L38" s="55"/>
      <c r="M38" s="57">
        <f t="shared" si="8"/>
        <v>0</v>
      </c>
      <c r="N38" s="55">
        <f t="shared" si="2"/>
        <v>14.3</v>
      </c>
      <c r="O38" s="56">
        <f t="shared" si="3"/>
        <v>815.1</v>
      </c>
      <c r="P38" s="258">
        <v>2</v>
      </c>
      <c r="Q38" s="57">
        <f t="shared" si="0"/>
        <v>12.3</v>
      </c>
      <c r="R38" s="56">
        <f t="shared" si="9"/>
        <v>701.1</v>
      </c>
      <c r="S38" s="94">
        <f t="shared" si="4"/>
        <v>12</v>
      </c>
      <c r="T38" s="254">
        <f t="shared" si="5"/>
        <v>684</v>
      </c>
    </row>
    <row r="39" spans="1:20" ht="15">
      <c r="A39" s="50">
        <f>завтрак!A38</f>
        <v>36</v>
      </c>
      <c r="B39" s="51" t="str">
        <f>полдник!B38</f>
        <v>Горох шлифованный, в инд. уп.</v>
      </c>
      <c r="C39" s="52" t="str">
        <f>полдник!C38</f>
        <v>кг</v>
      </c>
      <c r="D39" s="86">
        <f>обед!D38</f>
        <v>54</v>
      </c>
      <c r="E39" s="58">
        <f>завтрак!AA38</f>
        <v>0</v>
      </c>
      <c r="F39" s="55">
        <v>68</v>
      </c>
      <c r="G39" s="55">
        <f t="shared" si="6"/>
        <v>0</v>
      </c>
      <c r="H39" s="85">
        <f>обед!AA38</f>
        <v>70</v>
      </c>
      <c r="I39" s="55">
        <v>65</v>
      </c>
      <c r="J39" s="55">
        <f t="shared" si="7"/>
        <v>4.55</v>
      </c>
      <c r="K39" s="56">
        <f>полдник!AA38</f>
        <v>0</v>
      </c>
      <c r="L39" s="55"/>
      <c r="M39" s="57">
        <f t="shared" si="8"/>
        <v>0</v>
      </c>
      <c r="N39" s="55">
        <f t="shared" si="2"/>
        <v>4.55</v>
      </c>
      <c r="O39" s="56">
        <f t="shared" si="3"/>
        <v>245.7</v>
      </c>
      <c r="P39" s="258">
        <v>1.6</v>
      </c>
      <c r="Q39" s="57">
        <f t="shared" si="0"/>
        <v>2.95</v>
      </c>
      <c r="R39" s="56">
        <f t="shared" si="9"/>
        <v>159.3</v>
      </c>
      <c r="S39" s="94">
        <f t="shared" si="4"/>
        <v>3</v>
      </c>
      <c r="T39" s="254">
        <f t="shared" si="5"/>
        <v>162</v>
      </c>
    </row>
    <row r="40" spans="1:20" ht="15">
      <c r="A40" s="50">
        <f>завтрак!A39</f>
        <v>37</v>
      </c>
      <c r="B40" s="51" t="str">
        <f>полдник!B39</f>
        <v>Крупа перловая, в инд. уп.</v>
      </c>
      <c r="C40" s="52" t="str">
        <f>полдник!C39</f>
        <v>кг</v>
      </c>
      <c r="D40" s="86">
        <f>обед!D39</f>
        <v>48</v>
      </c>
      <c r="E40" s="58">
        <f>завтрак!AA39</f>
        <v>0</v>
      </c>
      <c r="F40" s="55">
        <v>68</v>
      </c>
      <c r="G40" s="55">
        <f t="shared" si="6"/>
        <v>0</v>
      </c>
      <c r="H40" s="85">
        <f>обед!AA39</f>
        <v>40</v>
      </c>
      <c r="I40" s="55">
        <v>65</v>
      </c>
      <c r="J40" s="55">
        <f t="shared" si="7"/>
        <v>2.6</v>
      </c>
      <c r="K40" s="56">
        <f>полдник!AA39</f>
        <v>0</v>
      </c>
      <c r="L40" s="55"/>
      <c r="M40" s="57">
        <f t="shared" si="8"/>
        <v>0</v>
      </c>
      <c r="N40" s="55">
        <f t="shared" si="2"/>
        <v>2.6</v>
      </c>
      <c r="O40" s="56">
        <f t="shared" si="3"/>
        <v>124.8</v>
      </c>
      <c r="P40" s="258"/>
      <c r="Q40" s="57">
        <f t="shared" si="0"/>
        <v>2.6</v>
      </c>
      <c r="R40" s="56">
        <f t="shared" si="9"/>
        <v>124.8</v>
      </c>
      <c r="S40" s="94">
        <f t="shared" si="4"/>
        <v>3</v>
      </c>
      <c r="T40" s="254">
        <f t="shared" si="5"/>
        <v>144</v>
      </c>
    </row>
    <row r="41" spans="1:20" ht="15">
      <c r="A41" s="50">
        <f>завтрак!A40</f>
        <v>38</v>
      </c>
      <c r="B41" s="51" t="str">
        <f>полдник!B40</f>
        <v>Крупа ячневая, в инд. уп.</v>
      </c>
      <c r="C41" s="52" t="str">
        <f>полдник!C40</f>
        <v>кг</v>
      </c>
      <c r="D41" s="86">
        <f>обед!D40</f>
        <v>48</v>
      </c>
      <c r="E41" s="58">
        <f>завтрак!AA40</f>
        <v>0</v>
      </c>
      <c r="F41" s="55">
        <v>68</v>
      </c>
      <c r="G41" s="55">
        <f t="shared" si="6"/>
        <v>0</v>
      </c>
      <c r="H41" s="85">
        <f>обед!AA40</f>
        <v>245</v>
      </c>
      <c r="I41" s="55">
        <v>65</v>
      </c>
      <c r="J41" s="55">
        <f t="shared" si="7"/>
        <v>15.925</v>
      </c>
      <c r="K41" s="56">
        <f>полдник!AA40</f>
        <v>0</v>
      </c>
      <c r="L41" s="55"/>
      <c r="M41" s="57">
        <f t="shared" si="8"/>
        <v>0</v>
      </c>
      <c r="N41" s="55">
        <f t="shared" si="2"/>
        <v>15.925</v>
      </c>
      <c r="O41" s="56">
        <f t="shared" si="3"/>
        <v>764.4</v>
      </c>
      <c r="P41" s="258"/>
      <c r="Q41" s="57">
        <f t="shared" si="0"/>
        <v>15.93</v>
      </c>
      <c r="R41" s="56">
        <f t="shared" si="9"/>
        <v>764.64</v>
      </c>
      <c r="S41" s="94">
        <f t="shared" si="4"/>
        <v>16</v>
      </c>
      <c r="T41" s="254">
        <f t="shared" si="5"/>
        <v>768</v>
      </c>
    </row>
    <row r="42" spans="1:20" ht="15">
      <c r="A42" s="50">
        <f>завтрак!A41</f>
        <v>39</v>
      </c>
      <c r="B42" s="51" t="str">
        <f>полдник!B41</f>
        <v>Хлопья "Геркулес", в инд. уп.</v>
      </c>
      <c r="C42" s="52" t="str">
        <f>полдник!C41</f>
        <v>кг</v>
      </c>
      <c r="D42" s="86">
        <f>обед!D41</f>
        <v>76</v>
      </c>
      <c r="E42" s="58">
        <f>завтрак!AA41</f>
        <v>0</v>
      </c>
      <c r="F42" s="55">
        <v>68</v>
      </c>
      <c r="G42" s="55">
        <f t="shared" si="6"/>
        <v>0</v>
      </c>
      <c r="H42" s="85">
        <f>обед!AA41</f>
        <v>0</v>
      </c>
      <c r="I42" s="55">
        <v>65</v>
      </c>
      <c r="J42" s="55">
        <f t="shared" si="7"/>
        <v>0</v>
      </c>
      <c r="K42" s="56">
        <f>полдник!AA41</f>
        <v>0</v>
      </c>
      <c r="L42" s="55"/>
      <c r="M42" s="57">
        <f t="shared" si="8"/>
        <v>0</v>
      </c>
      <c r="N42" s="55">
        <f t="shared" si="2"/>
        <v>0</v>
      </c>
      <c r="O42" s="56">
        <f t="shared" si="3"/>
        <v>0</v>
      </c>
      <c r="P42" s="258"/>
      <c r="Q42" s="57">
        <f t="shared" si="0"/>
        <v>0</v>
      </c>
      <c r="R42" s="56">
        <f t="shared" si="9"/>
        <v>0</v>
      </c>
      <c r="S42" s="94">
        <f t="shared" si="4"/>
        <v>0</v>
      </c>
      <c r="T42" s="254">
        <f t="shared" si="5"/>
        <v>0</v>
      </c>
    </row>
    <row r="43" spans="1:20" ht="15">
      <c r="A43" s="50">
        <f>завтрак!A42</f>
        <v>40</v>
      </c>
      <c r="B43" s="51" t="str">
        <f>полдник!B42</f>
        <v>Сахар-песок</v>
      </c>
      <c r="C43" s="52" t="str">
        <f>полдник!C42</f>
        <v>кг</v>
      </c>
      <c r="D43" s="86">
        <f>обед!D42</f>
        <v>85</v>
      </c>
      <c r="E43" s="58">
        <f>завтрак!AA42</f>
        <v>680</v>
      </c>
      <c r="F43" s="55">
        <v>68</v>
      </c>
      <c r="G43" s="55">
        <f t="shared" si="6"/>
        <v>46.24</v>
      </c>
      <c r="H43" s="85">
        <f>обед!AA42</f>
        <v>560</v>
      </c>
      <c r="I43" s="55">
        <v>65</v>
      </c>
      <c r="J43" s="55">
        <f t="shared" si="7"/>
        <v>36.4</v>
      </c>
      <c r="K43" s="56">
        <f>полдник!AA42</f>
        <v>122.5</v>
      </c>
      <c r="L43" s="55"/>
      <c r="M43" s="57">
        <f t="shared" si="8"/>
        <v>0</v>
      </c>
      <c r="N43" s="55">
        <f t="shared" si="2"/>
        <v>82.64</v>
      </c>
      <c r="O43" s="56">
        <f t="shared" si="3"/>
        <v>7024.4</v>
      </c>
      <c r="P43" s="258">
        <v>3</v>
      </c>
      <c r="Q43" s="57">
        <f t="shared" si="0"/>
        <v>79.64</v>
      </c>
      <c r="R43" s="56">
        <f t="shared" si="9"/>
        <v>6769.4</v>
      </c>
      <c r="S43" s="94">
        <f t="shared" si="4"/>
        <v>80</v>
      </c>
      <c r="T43" s="254">
        <f t="shared" si="5"/>
        <v>6800</v>
      </c>
    </row>
    <row r="44" spans="1:20" ht="15">
      <c r="A44" s="50">
        <f>завтрак!A43</f>
        <v>41</v>
      </c>
      <c r="B44" s="51" t="str">
        <f>полдник!B43</f>
        <v>Макароны (высший сорт)</v>
      </c>
      <c r="C44" s="52" t="str">
        <f>полдник!C43</f>
        <v>кг</v>
      </c>
      <c r="D44" s="86">
        <f>обед!D43</f>
        <v>46</v>
      </c>
      <c r="E44" s="58">
        <f>завтрак!AA43</f>
        <v>320</v>
      </c>
      <c r="F44" s="55">
        <v>68</v>
      </c>
      <c r="G44" s="55">
        <f t="shared" si="6"/>
        <v>21.76</v>
      </c>
      <c r="H44" s="85">
        <f>обед!AA43</f>
        <v>415</v>
      </c>
      <c r="I44" s="55">
        <v>65</v>
      </c>
      <c r="J44" s="55">
        <f t="shared" si="7"/>
        <v>26.975</v>
      </c>
      <c r="K44" s="56">
        <f>полдник!AA43</f>
        <v>0</v>
      </c>
      <c r="L44" s="55"/>
      <c r="M44" s="57">
        <f t="shared" si="8"/>
        <v>0</v>
      </c>
      <c r="N44" s="55">
        <f t="shared" si="2"/>
        <v>48.735</v>
      </c>
      <c r="O44" s="56">
        <f t="shared" si="3"/>
        <v>2241.81</v>
      </c>
      <c r="P44" s="258">
        <v>2</v>
      </c>
      <c r="Q44" s="57">
        <f t="shared" si="0"/>
        <v>46.74</v>
      </c>
      <c r="R44" s="56">
        <f t="shared" si="9"/>
        <v>2150.04</v>
      </c>
      <c r="S44" s="94">
        <f t="shared" si="4"/>
        <v>47</v>
      </c>
      <c r="T44" s="254">
        <f t="shared" si="5"/>
        <v>2162</v>
      </c>
    </row>
    <row r="45" spans="1:20" ht="15">
      <c r="A45" s="50">
        <f>завтрак!A44</f>
        <v>42</v>
      </c>
      <c r="B45" s="51" t="str">
        <f>полдник!B44</f>
        <v>Вермишель (высший сорт)</v>
      </c>
      <c r="C45" s="52" t="str">
        <f>полдник!C44</f>
        <v>кг</v>
      </c>
      <c r="D45" s="86">
        <f>обед!D44</f>
        <v>47</v>
      </c>
      <c r="E45" s="58">
        <f>завтрак!AA44</f>
        <v>140</v>
      </c>
      <c r="F45" s="55">
        <v>68</v>
      </c>
      <c r="G45" s="55">
        <f t="shared" si="6"/>
        <v>9.52</v>
      </c>
      <c r="H45" s="85">
        <f>обед!AA44</f>
        <v>40</v>
      </c>
      <c r="I45" s="55">
        <v>65</v>
      </c>
      <c r="J45" s="55">
        <f t="shared" si="7"/>
        <v>2.6</v>
      </c>
      <c r="K45" s="56">
        <f>полдник!AA44</f>
        <v>0</v>
      </c>
      <c r="L45" s="55"/>
      <c r="M45" s="57">
        <f t="shared" si="8"/>
        <v>0</v>
      </c>
      <c r="N45" s="55">
        <f t="shared" si="2"/>
        <v>12.12</v>
      </c>
      <c r="O45" s="56">
        <f t="shared" si="3"/>
        <v>569.64</v>
      </c>
      <c r="P45" s="258"/>
      <c r="Q45" s="57">
        <f t="shared" si="0"/>
        <v>12.12</v>
      </c>
      <c r="R45" s="56">
        <f t="shared" si="9"/>
        <v>569.64</v>
      </c>
      <c r="S45" s="94">
        <f t="shared" si="4"/>
        <v>12</v>
      </c>
      <c r="T45" s="254">
        <f t="shared" si="5"/>
        <v>564</v>
      </c>
    </row>
    <row r="46" spans="1:20" ht="15">
      <c r="A46" s="50">
        <f>завтрак!A45</f>
        <v>43</v>
      </c>
      <c r="B46" s="51" t="str">
        <f>полдник!B45</f>
        <v>Дрожжи сухие</v>
      </c>
      <c r="C46" s="52" t="str">
        <f>полдник!C45</f>
        <v>кг</v>
      </c>
      <c r="D46" s="86">
        <f>обед!D45</f>
        <v>377</v>
      </c>
      <c r="E46" s="58">
        <f>завтрак!AA45</f>
        <v>9.25</v>
      </c>
      <c r="F46" s="55">
        <v>68</v>
      </c>
      <c r="G46" s="55">
        <f t="shared" si="6"/>
        <v>0.629</v>
      </c>
      <c r="H46" s="85">
        <f>обед!AA45</f>
        <v>0</v>
      </c>
      <c r="I46" s="55">
        <v>65</v>
      </c>
      <c r="J46" s="55">
        <f t="shared" si="7"/>
        <v>0</v>
      </c>
      <c r="K46" s="56">
        <f>полдник!AA45</f>
        <v>21.75</v>
      </c>
      <c r="L46" s="55"/>
      <c r="M46" s="57">
        <f t="shared" si="8"/>
        <v>0</v>
      </c>
      <c r="N46" s="55">
        <f t="shared" si="2"/>
        <v>0.629</v>
      </c>
      <c r="O46" s="56">
        <f t="shared" si="3"/>
        <v>237.13</v>
      </c>
      <c r="P46" s="258"/>
      <c r="Q46" s="57">
        <f t="shared" si="0"/>
        <v>0.63</v>
      </c>
      <c r="R46" s="56">
        <f t="shared" si="9"/>
        <v>237.51</v>
      </c>
      <c r="S46" s="295">
        <f t="shared" si="4"/>
        <v>0.6</v>
      </c>
      <c r="T46" s="254">
        <f t="shared" si="5"/>
        <v>226.2</v>
      </c>
    </row>
    <row r="47" spans="1:20" ht="15">
      <c r="A47" s="50">
        <f>завтрак!A46</f>
        <v>44</v>
      </c>
      <c r="B47" s="51" t="str">
        <f>полдник!B46</f>
        <v>Соль йодированная</v>
      </c>
      <c r="C47" s="52" t="str">
        <f>полдник!C46</f>
        <v>кг</v>
      </c>
      <c r="D47" s="86">
        <f>обед!D46</f>
        <v>27</v>
      </c>
      <c r="E47" s="58">
        <f>завтрак!AA46</f>
        <v>10</v>
      </c>
      <c r="F47" s="55">
        <v>68</v>
      </c>
      <c r="G47" s="55">
        <f t="shared" si="6"/>
        <v>0.68</v>
      </c>
      <c r="H47" s="85">
        <f>обед!AA46</f>
        <v>110</v>
      </c>
      <c r="I47" s="55">
        <v>65</v>
      </c>
      <c r="J47" s="55">
        <f t="shared" si="7"/>
        <v>7.15</v>
      </c>
      <c r="K47" s="56">
        <f>полдник!AA46</f>
        <v>12</v>
      </c>
      <c r="L47" s="55"/>
      <c r="M47" s="57">
        <f t="shared" si="8"/>
        <v>0</v>
      </c>
      <c r="N47" s="55">
        <f t="shared" si="2"/>
        <v>7.83</v>
      </c>
      <c r="O47" s="56">
        <f t="shared" si="3"/>
        <v>211.41</v>
      </c>
      <c r="P47" s="258"/>
      <c r="Q47" s="57">
        <f t="shared" si="0"/>
        <v>7.83</v>
      </c>
      <c r="R47" s="56">
        <f t="shared" si="9"/>
        <v>211.41</v>
      </c>
      <c r="S47" s="94">
        <f t="shared" si="4"/>
        <v>8</v>
      </c>
      <c r="T47" s="254">
        <f t="shared" si="5"/>
        <v>216</v>
      </c>
    </row>
    <row r="48" spans="1:20" ht="15" customHeight="1">
      <c r="A48" s="50">
        <f>завтрак!A47</f>
        <v>45</v>
      </c>
      <c r="B48" s="51">
        <f>полдник!B47</f>
        <v>0</v>
      </c>
      <c r="C48" s="52">
        <f>полдник!C47</f>
        <v>0</v>
      </c>
      <c r="D48" s="86">
        <f>обед!D47</f>
        <v>0</v>
      </c>
      <c r="E48" s="58">
        <f>завтрак!AA47</f>
        <v>0</v>
      </c>
      <c r="F48" s="55">
        <v>68</v>
      </c>
      <c r="G48" s="55">
        <f t="shared" si="6"/>
        <v>0</v>
      </c>
      <c r="H48" s="85">
        <f>обед!AA47</f>
        <v>0</v>
      </c>
      <c r="I48" s="55">
        <v>65</v>
      </c>
      <c r="J48" s="55">
        <f t="shared" si="7"/>
        <v>0</v>
      </c>
      <c r="K48" s="56">
        <f>полдник!AA47</f>
        <v>0</v>
      </c>
      <c r="L48" s="55"/>
      <c r="M48" s="57">
        <f t="shared" si="8"/>
        <v>0</v>
      </c>
      <c r="N48" s="55">
        <f t="shared" si="2"/>
        <v>0</v>
      </c>
      <c r="O48" s="56">
        <f t="shared" si="3"/>
        <v>0</v>
      </c>
      <c r="P48" s="258"/>
      <c r="Q48" s="57">
        <f t="shared" si="0"/>
        <v>0</v>
      </c>
      <c r="R48" s="56">
        <f t="shared" si="9"/>
        <v>0</v>
      </c>
      <c r="S48" s="94">
        <f t="shared" si="4"/>
        <v>0</v>
      </c>
      <c r="T48" s="254">
        <f t="shared" si="5"/>
        <v>0</v>
      </c>
    </row>
    <row r="49" spans="1:20" ht="15">
      <c r="A49" s="50">
        <f>завтрак!A48</f>
        <v>46</v>
      </c>
      <c r="B49" s="51" t="str">
        <f>полдник!B48</f>
        <v>Кофейный напиток (ячменный)</v>
      </c>
      <c r="C49" s="52" t="str">
        <f>полдник!C48</f>
        <v>кг</v>
      </c>
      <c r="D49" s="86">
        <f>обед!D48</f>
        <v>467</v>
      </c>
      <c r="E49" s="58">
        <f>завтрак!AA48</f>
        <v>0</v>
      </c>
      <c r="F49" s="55">
        <v>68</v>
      </c>
      <c r="G49" s="55">
        <f t="shared" si="6"/>
        <v>0</v>
      </c>
      <c r="H49" s="85">
        <f>обед!AA48</f>
        <v>0</v>
      </c>
      <c r="I49" s="55">
        <v>65</v>
      </c>
      <c r="J49" s="55">
        <f t="shared" si="7"/>
        <v>0</v>
      </c>
      <c r="K49" s="56">
        <f>полдник!AA48</f>
        <v>0</v>
      </c>
      <c r="L49" s="55"/>
      <c r="M49" s="57">
        <f t="shared" si="8"/>
        <v>0</v>
      </c>
      <c r="N49" s="55">
        <f t="shared" si="2"/>
        <v>0</v>
      </c>
      <c r="O49" s="56">
        <f t="shared" si="3"/>
        <v>0</v>
      </c>
      <c r="P49" s="258"/>
      <c r="Q49" s="57">
        <f t="shared" si="0"/>
        <v>0</v>
      </c>
      <c r="R49" s="56">
        <f t="shared" si="9"/>
        <v>0</v>
      </c>
      <c r="S49" s="94">
        <f t="shared" si="4"/>
        <v>0</v>
      </c>
      <c r="T49" s="254">
        <f t="shared" si="5"/>
        <v>0</v>
      </c>
    </row>
    <row r="50" spans="1:20" ht="15">
      <c r="A50" s="50">
        <f>завтрак!A49</f>
        <v>47</v>
      </c>
      <c r="B50" s="51" t="str">
        <f>полдник!B49</f>
        <v>Какао порошок</v>
      </c>
      <c r="C50" s="52" t="str">
        <f>полдник!C49</f>
        <v>кг</v>
      </c>
      <c r="D50" s="86">
        <f>обед!D49</f>
        <v>403</v>
      </c>
      <c r="E50" s="58">
        <f>завтрак!AA49</f>
        <v>0</v>
      </c>
      <c r="F50" s="55">
        <v>68</v>
      </c>
      <c r="G50" s="55">
        <f t="shared" si="6"/>
        <v>0</v>
      </c>
      <c r="H50" s="85">
        <f>обед!AA49</f>
        <v>0</v>
      </c>
      <c r="I50" s="55">
        <v>65</v>
      </c>
      <c r="J50" s="55">
        <f t="shared" si="7"/>
        <v>0</v>
      </c>
      <c r="K50" s="56">
        <f>полдник!AA49</f>
        <v>0</v>
      </c>
      <c r="L50" s="55"/>
      <c r="M50" s="57">
        <f t="shared" si="8"/>
        <v>0</v>
      </c>
      <c r="N50" s="55">
        <f t="shared" si="2"/>
        <v>0</v>
      </c>
      <c r="O50" s="56">
        <f t="shared" si="3"/>
        <v>0</v>
      </c>
      <c r="P50" s="258"/>
      <c r="Q50" s="57">
        <f t="shared" si="0"/>
        <v>0</v>
      </c>
      <c r="R50" s="56">
        <f t="shared" si="9"/>
        <v>0</v>
      </c>
      <c r="S50" s="94">
        <f t="shared" si="4"/>
        <v>0</v>
      </c>
      <c r="T50" s="254">
        <f t="shared" si="5"/>
        <v>0</v>
      </c>
    </row>
    <row r="51" spans="1:20" ht="15">
      <c r="A51" s="50">
        <f>завтрак!A50</f>
        <v>48</v>
      </c>
      <c r="B51" s="51" t="str">
        <f>полдник!B50</f>
        <v>Чай черный (1 сорт)</v>
      </c>
      <c r="C51" s="52" t="str">
        <f>полдник!C50</f>
        <v>кг</v>
      </c>
      <c r="D51" s="86">
        <f>обед!D50</f>
        <v>507</v>
      </c>
      <c r="E51" s="58">
        <f>завтрак!AA50</f>
        <v>45</v>
      </c>
      <c r="F51" s="55">
        <v>68</v>
      </c>
      <c r="G51" s="55">
        <f t="shared" si="6"/>
        <v>3.06</v>
      </c>
      <c r="H51" s="85">
        <f>обед!AA50</f>
        <v>10</v>
      </c>
      <c r="I51" s="55">
        <v>65</v>
      </c>
      <c r="J51" s="55">
        <f t="shared" si="7"/>
        <v>0.65</v>
      </c>
      <c r="K51" s="56">
        <f>полдник!AA50</f>
        <v>0</v>
      </c>
      <c r="L51" s="55"/>
      <c r="M51" s="57">
        <f t="shared" si="8"/>
        <v>0</v>
      </c>
      <c r="N51" s="55">
        <f t="shared" si="2"/>
        <v>3.71</v>
      </c>
      <c r="O51" s="56">
        <f t="shared" si="3"/>
        <v>1880.97</v>
      </c>
      <c r="P51" s="258">
        <v>0.1</v>
      </c>
      <c r="Q51" s="57">
        <f t="shared" si="0"/>
        <v>3.61</v>
      </c>
      <c r="R51" s="56">
        <f t="shared" si="9"/>
        <v>1830.27</v>
      </c>
      <c r="S51" s="295">
        <f t="shared" si="4"/>
        <v>3.6</v>
      </c>
      <c r="T51" s="254">
        <f t="shared" si="5"/>
        <v>1825.2</v>
      </c>
    </row>
    <row r="52" spans="1:20" ht="15">
      <c r="A52" s="50">
        <f>завтрак!A51</f>
        <v>49</v>
      </c>
      <c r="B52" s="51" t="str">
        <f>полдник!B51</f>
        <v>Лавровый лист</v>
      </c>
      <c r="C52" s="52" t="str">
        <f>полдник!C51</f>
        <v>кг</v>
      </c>
      <c r="D52" s="86">
        <f>обед!D51</f>
        <v>617</v>
      </c>
      <c r="E52" s="58">
        <f>завтрак!AA51</f>
        <v>0</v>
      </c>
      <c r="F52" s="55">
        <v>68</v>
      </c>
      <c r="G52" s="55">
        <f t="shared" si="6"/>
        <v>0</v>
      </c>
      <c r="H52" s="85">
        <f>обед!AA51</f>
        <v>1</v>
      </c>
      <c r="I52" s="55">
        <v>65</v>
      </c>
      <c r="J52" s="55">
        <f t="shared" si="7"/>
        <v>0.065</v>
      </c>
      <c r="K52" s="56">
        <f>полдник!AA51</f>
        <v>0</v>
      </c>
      <c r="L52" s="55"/>
      <c r="M52" s="57">
        <f t="shared" si="8"/>
        <v>0</v>
      </c>
      <c r="N52" s="55">
        <f t="shared" si="2"/>
        <v>0.065</v>
      </c>
      <c r="O52" s="56">
        <f t="shared" si="3"/>
        <v>40.11</v>
      </c>
      <c r="P52" s="258"/>
      <c r="Q52" s="57">
        <f t="shared" si="0"/>
        <v>0.07</v>
      </c>
      <c r="R52" s="56">
        <f t="shared" si="9"/>
        <v>43.19</v>
      </c>
      <c r="S52" s="295">
        <f t="shared" si="4"/>
        <v>0.1</v>
      </c>
      <c r="T52" s="254">
        <f t="shared" si="5"/>
        <v>61.7</v>
      </c>
    </row>
    <row r="53" spans="1:20" ht="15">
      <c r="A53" s="50">
        <f>завтрак!A52</f>
        <v>50</v>
      </c>
      <c r="B53" s="51" t="str">
        <f>полдник!B52</f>
        <v>Хлеб пшеничный</v>
      </c>
      <c r="C53" s="52" t="str">
        <f>полдник!C52</f>
        <v>кг</v>
      </c>
      <c r="D53" s="86">
        <f>обед!D52</f>
        <v>48</v>
      </c>
      <c r="E53" s="58">
        <f>завтрак!AA52</f>
        <v>850</v>
      </c>
      <c r="F53" s="55">
        <v>68</v>
      </c>
      <c r="G53" s="55">
        <f t="shared" si="6"/>
        <v>57.8</v>
      </c>
      <c r="H53" s="85">
        <f>обед!AA52</f>
        <v>2545</v>
      </c>
      <c r="I53" s="55">
        <v>65</v>
      </c>
      <c r="J53" s="55">
        <f t="shared" si="7"/>
        <v>165.425</v>
      </c>
      <c r="K53" s="56">
        <f>полдник!AA52</f>
        <v>0</v>
      </c>
      <c r="L53" s="55"/>
      <c r="M53" s="57">
        <f t="shared" si="8"/>
        <v>0</v>
      </c>
      <c r="N53" s="55">
        <f t="shared" si="2"/>
        <v>223.225</v>
      </c>
      <c r="O53" s="56">
        <f t="shared" si="3"/>
        <v>10714.8</v>
      </c>
      <c r="P53" s="258"/>
      <c r="Q53" s="57">
        <f t="shared" si="0"/>
        <v>223.23</v>
      </c>
      <c r="R53" s="56">
        <f t="shared" si="9"/>
        <v>10715.04</v>
      </c>
      <c r="S53" s="94">
        <f t="shared" si="4"/>
        <v>223</v>
      </c>
      <c r="T53" s="254">
        <f t="shared" si="5"/>
        <v>10704</v>
      </c>
    </row>
    <row r="54" spans="1:20" ht="15">
      <c r="A54" s="50">
        <f>завтрак!A53</f>
        <v>51</v>
      </c>
      <c r="B54" s="51" t="str">
        <f>полдник!B53</f>
        <v>Пряник 1 сорт</v>
      </c>
      <c r="C54" s="52" t="str">
        <f>полдник!C53</f>
        <v>кг</v>
      </c>
      <c r="D54" s="86">
        <f>обед!D53</f>
        <v>153</v>
      </c>
      <c r="E54" s="58">
        <f>завтрак!AA53</f>
        <v>0</v>
      </c>
      <c r="F54" s="55">
        <v>68</v>
      </c>
      <c r="G54" s="55">
        <f t="shared" si="6"/>
        <v>0</v>
      </c>
      <c r="H54" s="85">
        <f>обед!AA53</f>
        <v>0</v>
      </c>
      <c r="I54" s="55">
        <v>65</v>
      </c>
      <c r="J54" s="55">
        <f t="shared" si="7"/>
        <v>0</v>
      </c>
      <c r="K54" s="56">
        <f>полдник!AA53</f>
        <v>0</v>
      </c>
      <c r="L54" s="55"/>
      <c r="M54" s="57">
        <f t="shared" si="8"/>
        <v>0</v>
      </c>
      <c r="N54" s="55">
        <f t="shared" si="2"/>
        <v>0</v>
      </c>
      <c r="O54" s="56">
        <f t="shared" si="3"/>
        <v>0</v>
      </c>
      <c r="P54" s="258"/>
      <c r="Q54" s="57">
        <f t="shared" si="0"/>
        <v>0</v>
      </c>
      <c r="R54" s="56">
        <f t="shared" si="9"/>
        <v>0</v>
      </c>
      <c r="S54" s="94">
        <f t="shared" si="4"/>
        <v>0</v>
      </c>
      <c r="T54" s="254">
        <f t="shared" si="5"/>
        <v>0</v>
      </c>
    </row>
    <row r="55" spans="1:20" ht="15">
      <c r="A55" s="50">
        <v>52</v>
      </c>
      <c r="B55" s="51" t="str">
        <f>полдник!B54</f>
        <v>Фасоль сухая (1 сорт)</v>
      </c>
      <c r="C55" s="52" t="str">
        <f>полдник!C54</f>
        <v>кг</v>
      </c>
      <c r="D55" s="86">
        <f>обед!D54</f>
        <v>185</v>
      </c>
      <c r="E55" s="58">
        <f>завтрак!AA54</f>
        <v>0</v>
      </c>
      <c r="F55" s="55">
        <v>68</v>
      </c>
      <c r="G55" s="55">
        <f t="shared" si="6"/>
        <v>0</v>
      </c>
      <c r="H55" s="85">
        <f>обед!AA54</f>
        <v>150</v>
      </c>
      <c r="I55" s="55">
        <v>65</v>
      </c>
      <c r="J55" s="55">
        <f t="shared" si="7"/>
        <v>9.75</v>
      </c>
      <c r="K55" s="56">
        <f>полдник!AA54</f>
        <v>0</v>
      </c>
      <c r="L55" s="55"/>
      <c r="M55" s="57">
        <f t="shared" si="8"/>
        <v>0</v>
      </c>
      <c r="N55" s="55">
        <f t="shared" si="2"/>
        <v>9.75</v>
      </c>
      <c r="O55" s="56">
        <f t="shared" si="3"/>
        <v>1803.75</v>
      </c>
      <c r="P55" s="258"/>
      <c r="Q55" s="57">
        <f t="shared" si="0"/>
        <v>9.75</v>
      </c>
      <c r="R55" s="56">
        <f t="shared" si="9"/>
        <v>1803.75</v>
      </c>
      <c r="S55" s="94">
        <f t="shared" si="4"/>
        <v>10</v>
      </c>
      <c r="T55" s="254">
        <f t="shared" si="5"/>
        <v>1850</v>
      </c>
    </row>
    <row r="56" spans="1:20" ht="15">
      <c r="A56" s="50">
        <v>53</v>
      </c>
      <c r="B56" s="51" t="str">
        <f>полдник!B55</f>
        <v>Лимон свежий (1 сорт)</v>
      </c>
      <c r="C56" s="52" t="str">
        <f>полдник!C55</f>
        <v>кг</v>
      </c>
      <c r="D56" s="86">
        <f>обед!D55</f>
        <v>220</v>
      </c>
      <c r="E56" s="58">
        <f>завтрак!AA55</f>
        <v>40</v>
      </c>
      <c r="F56" s="55">
        <v>68</v>
      </c>
      <c r="G56" s="55">
        <f t="shared" si="6"/>
        <v>2.72</v>
      </c>
      <c r="H56" s="85">
        <f>обед!AA55</f>
        <v>0</v>
      </c>
      <c r="I56" s="55">
        <v>65</v>
      </c>
      <c r="J56" s="55">
        <f t="shared" si="7"/>
        <v>0</v>
      </c>
      <c r="K56" s="56">
        <f>полдник!AA55</f>
        <v>0</v>
      </c>
      <c r="L56" s="55"/>
      <c r="M56" s="57">
        <f t="shared" si="8"/>
        <v>0</v>
      </c>
      <c r="N56" s="55">
        <f t="shared" si="2"/>
        <v>2.72</v>
      </c>
      <c r="O56" s="56">
        <f t="shared" si="3"/>
        <v>598.4</v>
      </c>
      <c r="P56" s="258"/>
      <c r="Q56" s="57">
        <f t="shared" si="0"/>
        <v>2.72</v>
      </c>
      <c r="R56" s="56">
        <f t="shared" si="9"/>
        <v>598.4</v>
      </c>
      <c r="S56" s="94">
        <f t="shared" si="4"/>
        <v>3</v>
      </c>
      <c r="T56" s="254">
        <f t="shared" si="5"/>
        <v>660</v>
      </c>
    </row>
    <row r="57" spans="1:20" ht="15">
      <c r="A57" s="287" t="s">
        <v>64</v>
      </c>
      <c r="B57" s="288"/>
      <c r="C57" s="289"/>
      <c r="D57" s="58"/>
      <c r="E57" s="53"/>
      <c r="F57" s="54"/>
      <c r="G57" s="54"/>
      <c r="H57" s="59"/>
      <c r="I57" s="54"/>
      <c r="J57" s="54"/>
      <c r="K57" s="54"/>
      <c r="L57" s="54"/>
      <c r="M57" s="54"/>
      <c r="N57" s="55"/>
      <c r="O57" s="57">
        <f>SUM(O4:O56)</f>
        <v>231310.1</v>
      </c>
      <c r="P57" s="259"/>
      <c r="Q57" s="95">
        <f>SUM(Q4:Q56)</f>
        <v>2697.17</v>
      </c>
      <c r="R57" s="93">
        <f>SUM(R4:R56)</f>
        <v>225922.79</v>
      </c>
      <c r="S57" s="95">
        <f>SUM(S4:S56)</f>
        <v>2697.9</v>
      </c>
      <c r="T57" s="255">
        <f>SUM(T4:T56)</f>
        <v>225911.3</v>
      </c>
    </row>
    <row r="58" spans="1:19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260"/>
      <c r="Q58" s="67"/>
      <c r="R58" s="67"/>
      <c r="S58" s="42"/>
    </row>
    <row r="59" spans="1:19" ht="15">
      <c r="A59" s="67"/>
      <c r="B59" s="67"/>
      <c r="C59" s="67"/>
      <c r="D59" s="67"/>
      <c r="E59" s="68"/>
      <c r="F59" s="67"/>
      <c r="G59" s="67"/>
      <c r="H59" s="68"/>
      <c r="I59" s="67"/>
      <c r="J59" s="67"/>
      <c r="K59" s="67"/>
      <c r="L59" s="67"/>
      <c r="M59" s="67"/>
      <c r="N59" s="68"/>
      <c r="O59" s="67"/>
      <c r="P59" s="260"/>
      <c r="Q59" s="67"/>
      <c r="R59" s="67"/>
      <c r="S59" s="42"/>
    </row>
    <row r="60" spans="1:18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61"/>
      <c r="Q60" s="45"/>
      <c r="R60" s="45"/>
    </row>
    <row r="61" spans="1:19" ht="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262"/>
      <c r="Q61" s="290" t="s">
        <v>135</v>
      </c>
      <c r="R61" s="290"/>
      <c r="S61" s="286"/>
    </row>
    <row r="62" spans="17:19" ht="15">
      <c r="Q62" s="290" t="s">
        <v>153</v>
      </c>
      <c r="R62" s="286"/>
      <c r="S62" s="286"/>
    </row>
    <row r="63" ht="15">
      <c r="Q63" t="s">
        <v>134</v>
      </c>
    </row>
  </sheetData>
  <sheetProtection/>
  <mergeCells count="4">
    <mergeCell ref="A57:C57"/>
    <mergeCell ref="Q61:S61"/>
    <mergeCell ref="Q62:S62"/>
    <mergeCell ref="A1:T1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3.375" style="0" customWidth="1"/>
    <col min="2" max="2" width="4.375" style="0" customWidth="1"/>
    <col min="3" max="3" width="45.625" style="0" customWidth="1"/>
    <col min="4" max="4" width="5.00390625" style="0" bestFit="1" customWidth="1"/>
    <col min="5" max="5" width="12.00390625" style="0" customWidth="1"/>
  </cols>
  <sheetData>
    <row r="2" spans="2:5" ht="12.75">
      <c r="B2" s="293" t="s">
        <v>236</v>
      </c>
      <c r="C2" s="294"/>
      <c r="D2" s="294"/>
      <c r="E2" s="294"/>
    </row>
    <row r="3" ht="12.75">
      <c r="C3" t="s">
        <v>237</v>
      </c>
    </row>
    <row r="4" spans="2:5" ht="27.75" customHeight="1">
      <c r="B4" s="219" t="s">
        <v>3</v>
      </c>
      <c r="C4" s="220" t="s">
        <v>205</v>
      </c>
      <c r="D4" s="219" t="s">
        <v>59</v>
      </c>
      <c r="E4" s="220" t="s">
        <v>206</v>
      </c>
    </row>
    <row r="5" spans="2:5" ht="15">
      <c r="B5" s="221">
        <v>1</v>
      </c>
      <c r="C5" s="222" t="str">
        <f>Расчет!B4</f>
        <v>Яйцо (1 сорт)</v>
      </c>
      <c r="D5" s="221" t="s">
        <v>48</v>
      </c>
      <c r="E5" s="223">
        <f>Расчет!P4</f>
        <v>45</v>
      </c>
    </row>
    <row r="6" spans="2:5" ht="15">
      <c r="B6" s="221">
        <v>2</v>
      </c>
      <c r="C6" s="222" t="str">
        <f>Расчет!B5</f>
        <v>Мясо говядины без кости (1 категории)</v>
      </c>
      <c r="D6" s="221" t="s">
        <v>44</v>
      </c>
      <c r="E6" s="223">
        <f>Расчет!P5</f>
        <v>0</v>
      </c>
    </row>
    <row r="7" spans="2:5" ht="15">
      <c r="B7" s="221">
        <v>3</v>
      </c>
      <c r="C7" s="222" t="str">
        <f>Расчет!B6</f>
        <v>Мясо птицы (1 категории)</v>
      </c>
      <c r="D7" s="221" t="s">
        <v>44</v>
      </c>
      <c r="E7" s="223">
        <f>Расчет!P6</f>
        <v>0</v>
      </c>
    </row>
    <row r="8" spans="2:5" ht="15">
      <c r="B8" s="221">
        <v>4</v>
      </c>
      <c r="C8" s="222">
        <f>Расчет!B7</f>
        <v>0</v>
      </c>
      <c r="D8" s="221" t="s">
        <v>44</v>
      </c>
      <c r="E8" s="223">
        <f>Расчет!P7</f>
        <v>0</v>
      </c>
    </row>
    <row r="9" spans="2:5" ht="15">
      <c r="B9" s="221">
        <v>5</v>
      </c>
      <c r="C9" s="222">
        <f>Расчет!B8</f>
        <v>0</v>
      </c>
      <c r="D9" s="221" t="s">
        <v>44</v>
      </c>
      <c r="E9" s="223">
        <f>Расчет!P8</f>
        <v>0</v>
      </c>
    </row>
    <row r="10" spans="2:5" ht="15">
      <c r="B10" s="221">
        <v>6</v>
      </c>
      <c r="C10" s="222" t="str">
        <f>Расчет!B9</f>
        <v>Молоко пастеризованное (2,5%)</v>
      </c>
      <c r="D10" s="221" t="s">
        <v>45</v>
      </c>
      <c r="E10" s="223">
        <f>Расчет!P9</f>
        <v>0</v>
      </c>
    </row>
    <row r="11" spans="2:5" ht="15">
      <c r="B11" s="221">
        <v>7</v>
      </c>
      <c r="C11" s="222" t="str">
        <f>Расчет!B10</f>
        <v>Масло сливочное (72,5%)</v>
      </c>
      <c r="D11" s="221" t="s">
        <v>44</v>
      </c>
      <c r="E11" s="223">
        <f>Расчет!P10</f>
        <v>1</v>
      </c>
    </row>
    <row r="12" spans="2:5" ht="15">
      <c r="B12" s="221">
        <v>8</v>
      </c>
      <c r="C12" s="222" t="str">
        <f>Расчет!B11</f>
        <v>Сметана (15%)</v>
      </c>
      <c r="D12" s="221" t="s">
        <v>44</v>
      </c>
      <c r="E12" s="223">
        <f>Расчет!P11</f>
        <v>1.2</v>
      </c>
    </row>
    <row r="13" spans="2:5" ht="15">
      <c r="B13" s="221">
        <v>9</v>
      </c>
      <c r="C13" s="222" t="str">
        <f>Расчет!B12</f>
        <v>Творог (5%)</v>
      </c>
      <c r="D13" s="221" t="s">
        <v>45</v>
      </c>
      <c r="E13" s="223">
        <f>Расчет!P12</f>
        <v>0</v>
      </c>
    </row>
    <row r="14" spans="2:5" ht="15">
      <c r="B14" s="221">
        <v>10</v>
      </c>
      <c r="C14" s="222" t="str">
        <f>Расчет!B13</f>
        <v>Сыр твердый (45%)</v>
      </c>
      <c r="D14" s="221" t="s">
        <v>44</v>
      </c>
      <c r="E14" s="223">
        <f>Расчет!P13</f>
        <v>0</v>
      </c>
    </row>
    <row r="15" spans="2:5" ht="15">
      <c r="B15" s="221">
        <v>11</v>
      </c>
      <c r="C15" s="222" t="str">
        <f>Расчет!B14</f>
        <v>Молоко сгущенное цельное с сахаром (8,5%)</v>
      </c>
      <c r="D15" s="221" t="s">
        <v>44</v>
      </c>
      <c r="E15" s="223">
        <f>Расчет!P14</f>
        <v>0</v>
      </c>
    </row>
    <row r="16" spans="2:5" ht="15">
      <c r="B16" s="221">
        <v>12</v>
      </c>
      <c r="C16" s="222" t="str">
        <f>Расчет!B15</f>
        <v>Картофель (1 сорт)</v>
      </c>
      <c r="D16" s="221" t="s">
        <v>44</v>
      </c>
      <c r="E16" s="223">
        <f>Расчет!P15</f>
        <v>9</v>
      </c>
    </row>
    <row r="17" spans="2:5" ht="15">
      <c r="B17" s="221">
        <v>13</v>
      </c>
      <c r="C17" s="222" t="str">
        <f>Расчет!B16</f>
        <v>Капуста белокачанная (1 сорт)</v>
      </c>
      <c r="D17" s="221" t="s">
        <v>44</v>
      </c>
      <c r="E17" s="223">
        <f>Расчет!P16</f>
        <v>5</v>
      </c>
    </row>
    <row r="18" spans="2:5" ht="15">
      <c r="B18" s="221">
        <v>14</v>
      </c>
      <c r="C18" s="222" t="str">
        <f>Расчет!B17</f>
        <v>Лук репчатый (1 сорт)</v>
      </c>
      <c r="D18" s="221" t="s">
        <v>44</v>
      </c>
      <c r="E18" s="223">
        <f>Расчет!P17</f>
        <v>4</v>
      </c>
    </row>
    <row r="19" spans="2:5" ht="15">
      <c r="B19" s="221">
        <v>15</v>
      </c>
      <c r="C19" s="222" t="str">
        <f>Расчет!B18</f>
        <v>Морковь (1 сорт)</v>
      </c>
      <c r="D19" s="221" t="s">
        <v>44</v>
      </c>
      <c r="E19" s="223">
        <f>Расчет!P18</f>
        <v>2.8</v>
      </c>
    </row>
    <row r="20" spans="2:5" ht="15">
      <c r="B20" s="221">
        <v>16</v>
      </c>
      <c r="C20" s="222" t="str">
        <f>Расчет!B19</f>
        <v>Свекла (1 сорт)</v>
      </c>
      <c r="D20" s="221" t="s">
        <v>44</v>
      </c>
      <c r="E20" s="223">
        <f>Расчет!P19</f>
        <v>3</v>
      </c>
    </row>
    <row r="21" spans="2:5" ht="15">
      <c r="B21" s="221">
        <v>17</v>
      </c>
      <c r="C21" s="222" t="str">
        <f>Расчет!B20</f>
        <v>Огурцы консервированные без уксуса (1 с)</v>
      </c>
      <c r="D21" s="221" t="s">
        <v>44</v>
      </c>
      <c r="E21" s="223">
        <f>Расчет!P20</f>
        <v>3</v>
      </c>
    </row>
    <row r="22" spans="2:5" ht="15">
      <c r="B22" s="221">
        <v>18</v>
      </c>
      <c r="C22" s="222" t="str">
        <f>Расчет!B21</f>
        <v>Икра кабачковая для дет. питания</v>
      </c>
      <c r="D22" s="221" t="s">
        <v>44</v>
      </c>
      <c r="E22" s="223">
        <f>Расчет!P21</f>
        <v>0</v>
      </c>
    </row>
    <row r="23" spans="2:5" ht="15">
      <c r="B23" s="221">
        <v>19</v>
      </c>
      <c r="C23" s="222" t="str">
        <f>Расчет!B22</f>
        <v>Горошек зеленый (сорт салатный)</v>
      </c>
      <c r="D23" s="221" t="s">
        <v>44</v>
      </c>
      <c r="E23" s="223">
        <f>Расчет!P22</f>
        <v>0</v>
      </c>
    </row>
    <row r="24" spans="2:5" ht="15">
      <c r="B24" s="221">
        <v>20</v>
      </c>
      <c r="C24" s="222" t="str">
        <f>Расчет!B23</f>
        <v>Томатная паста с содержанием с/в (25-30%)</v>
      </c>
      <c r="D24" s="221" t="s">
        <v>44</v>
      </c>
      <c r="E24" s="223">
        <f>Расчет!P23</f>
        <v>0</v>
      </c>
    </row>
    <row r="25" spans="2:5" ht="15">
      <c r="B25" s="221">
        <v>21</v>
      </c>
      <c r="C25" s="222" t="str">
        <f>Расчет!B24</f>
        <v>Яблоки свежие (1 сорт)</v>
      </c>
      <c r="D25" s="221" t="s">
        <v>44</v>
      </c>
      <c r="E25" s="223">
        <f>Расчет!P24</f>
        <v>2</v>
      </c>
    </row>
    <row r="26" spans="2:5" ht="15">
      <c r="B26" s="221">
        <v>22</v>
      </c>
      <c r="C26" s="222" t="str">
        <f>Расчет!B25</f>
        <v>Бананы свежие (1 сорт)</v>
      </c>
      <c r="D26" s="221" t="s">
        <v>44</v>
      </c>
      <c r="E26" s="223">
        <f>Расчет!P25</f>
        <v>0</v>
      </c>
    </row>
    <row r="27" spans="2:5" ht="15">
      <c r="B27" s="221">
        <v>23</v>
      </c>
      <c r="C27" s="222" t="str">
        <f>Расчет!B26</f>
        <v>Сухофрукты ассорти</v>
      </c>
      <c r="D27" s="221" t="s">
        <v>44</v>
      </c>
      <c r="E27" s="223">
        <f>Расчет!P26</f>
        <v>0</v>
      </c>
    </row>
    <row r="28" spans="2:5" ht="15">
      <c r="B28" s="221">
        <v>24</v>
      </c>
      <c r="C28" s="222" t="str">
        <f>Расчет!B27</f>
        <v>Изюм</v>
      </c>
      <c r="D28" s="221" t="s">
        <v>44</v>
      </c>
      <c r="E28" s="223">
        <f>Расчет!P27</f>
        <v>0</v>
      </c>
    </row>
    <row r="29" spans="2:5" ht="15">
      <c r="B29" s="221">
        <v>25</v>
      </c>
      <c r="C29" s="222" t="str">
        <f>Расчет!B28</f>
        <v>Повидло фруктовое (1 сорт)</v>
      </c>
      <c r="D29" s="221" t="s">
        <v>44</v>
      </c>
      <c r="E29" s="223">
        <f>Расчет!P28</f>
        <v>0</v>
      </c>
    </row>
    <row r="30" spans="2:5" ht="15">
      <c r="B30" s="221">
        <v>26</v>
      </c>
      <c r="C30" s="222" t="str">
        <f>Расчет!B29</f>
        <v>Сок фруктовый (1 литр)</v>
      </c>
      <c r="D30" s="221" t="s">
        <v>45</v>
      </c>
      <c r="E30" s="223">
        <f>Расчет!P29</f>
        <v>0</v>
      </c>
    </row>
    <row r="31" spans="2:5" ht="15">
      <c r="B31" s="221">
        <v>27</v>
      </c>
      <c r="C31" s="222" t="str">
        <f>Расчет!B30</f>
        <v>Масло растительное, рафинированное</v>
      </c>
      <c r="D31" s="221" t="s">
        <v>44</v>
      </c>
      <c r="E31" s="223">
        <f>Расчет!P30</f>
        <v>1.8</v>
      </c>
    </row>
    <row r="32" spans="2:5" ht="15">
      <c r="B32" s="221">
        <v>28</v>
      </c>
      <c r="C32" s="222" t="str">
        <f>Расчет!B31</f>
        <v>Рыба с/м (1 сорт), минтай</v>
      </c>
      <c r="D32" s="221" t="s">
        <v>44</v>
      </c>
      <c r="E32" s="223">
        <f>Расчет!P31</f>
        <v>3</v>
      </c>
    </row>
    <row r="33" spans="2:5" ht="15">
      <c r="B33" s="221">
        <v>29</v>
      </c>
      <c r="C33" s="222">
        <f>Расчет!B32</f>
        <v>0</v>
      </c>
      <c r="D33" s="221" t="s">
        <v>44</v>
      </c>
      <c r="E33" s="223">
        <f>Расчет!P32</f>
        <v>0</v>
      </c>
    </row>
    <row r="34" spans="2:5" ht="15">
      <c r="B34" s="221">
        <v>30</v>
      </c>
      <c r="C34" s="222" t="str">
        <f>Расчет!B33</f>
        <v>Мука пшеничная (высший сорт)</v>
      </c>
      <c r="D34" s="221" t="s">
        <v>44</v>
      </c>
      <c r="E34" s="223">
        <f>Расчет!P33</f>
        <v>0</v>
      </c>
    </row>
    <row r="35" spans="2:5" ht="15">
      <c r="B35" s="221">
        <v>31</v>
      </c>
      <c r="C35" s="222" t="str">
        <f>Расчет!B34</f>
        <v>Крупа гречневая, в инд. уп.</v>
      </c>
      <c r="D35" s="221" t="s">
        <v>44</v>
      </c>
      <c r="E35" s="223">
        <f>Расчет!P34</f>
        <v>2</v>
      </c>
    </row>
    <row r="36" spans="2:5" ht="15">
      <c r="B36" s="221">
        <v>32</v>
      </c>
      <c r="C36" s="222" t="str">
        <f>Расчет!B35</f>
        <v>Крупа манная (1 сорт), в инд. уп.</v>
      </c>
      <c r="D36" s="221" t="s">
        <v>45</v>
      </c>
      <c r="E36" s="223">
        <f>Расчет!P35</f>
        <v>0</v>
      </c>
    </row>
    <row r="37" spans="2:5" ht="15">
      <c r="B37" s="221">
        <v>33</v>
      </c>
      <c r="C37" s="222" t="str">
        <f>Расчет!B36</f>
        <v>Рис (1 сорт), в инд. уп.</v>
      </c>
      <c r="D37" s="221" t="s">
        <v>44</v>
      </c>
      <c r="E37" s="223">
        <f>Расчет!P36</f>
        <v>6</v>
      </c>
    </row>
    <row r="38" spans="2:5" ht="15">
      <c r="B38" s="221">
        <v>34</v>
      </c>
      <c r="C38" s="222" t="str">
        <f>Расчет!B37</f>
        <v>Крупа пшеничная (1 сорт), в инд уп.</v>
      </c>
      <c r="D38" s="221" t="s">
        <v>44</v>
      </c>
      <c r="E38" s="223">
        <f>Расчет!P37</f>
        <v>0</v>
      </c>
    </row>
    <row r="39" spans="2:5" ht="15">
      <c r="B39" s="221">
        <v>35</v>
      </c>
      <c r="C39" s="222" t="str">
        <f>Расчет!B38</f>
        <v>Пшено (1 сорт), в инд. уп.</v>
      </c>
      <c r="D39" s="221" t="s">
        <v>44</v>
      </c>
      <c r="E39" s="223">
        <f>Расчет!P38</f>
        <v>2</v>
      </c>
    </row>
    <row r="40" spans="2:5" ht="15">
      <c r="B40" s="221">
        <v>36</v>
      </c>
      <c r="C40" s="222" t="str">
        <f>Расчет!B39</f>
        <v>Горох шлифованный, в инд. уп.</v>
      </c>
      <c r="D40" s="221" t="s">
        <v>44</v>
      </c>
      <c r="E40" s="223">
        <f>Расчет!P39</f>
        <v>1.6</v>
      </c>
    </row>
    <row r="41" spans="2:5" ht="15">
      <c r="B41" s="221">
        <v>37</v>
      </c>
      <c r="C41" s="222" t="str">
        <f>Расчет!B40</f>
        <v>Крупа перловая, в инд. уп.</v>
      </c>
      <c r="D41" s="221" t="s">
        <v>44</v>
      </c>
      <c r="E41" s="223">
        <f>Расчет!P40</f>
        <v>0</v>
      </c>
    </row>
    <row r="42" spans="2:5" ht="15">
      <c r="B42" s="221">
        <v>38</v>
      </c>
      <c r="C42" s="222" t="str">
        <f>Расчет!B41</f>
        <v>Крупа ячневая, в инд. уп.</v>
      </c>
      <c r="D42" s="221" t="s">
        <v>44</v>
      </c>
      <c r="E42" s="223">
        <f>Расчет!P41</f>
        <v>0</v>
      </c>
    </row>
    <row r="43" spans="2:5" ht="15">
      <c r="B43" s="221">
        <v>39</v>
      </c>
      <c r="C43" s="222" t="str">
        <f>Расчет!B42</f>
        <v>Хлопья "Геркулес", в инд. уп.</v>
      </c>
      <c r="D43" s="221" t="s">
        <v>44</v>
      </c>
      <c r="E43" s="223">
        <f>Расчет!P42</f>
        <v>0</v>
      </c>
    </row>
    <row r="44" spans="2:5" ht="15">
      <c r="B44" s="221">
        <v>40</v>
      </c>
      <c r="C44" s="222" t="str">
        <f>Расчет!B43</f>
        <v>Сахар-песок</v>
      </c>
      <c r="D44" s="221" t="s">
        <v>44</v>
      </c>
      <c r="E44" s="223">
        <f>Расчет!P43</f>
        <v>3</v>
      </c>
    </row>
    <row r="45" spans="2:5" ht="15">
      <c r="B45" s="221">
        <v>41</v>
      </c>
      <c r="C45" s="222" t="str">
        <f>Расчет!B44</f>
        <v>Макароны (высший сорт)</v>
      </c>
      <c r="D45" s="221" t="s">
        <v>44</v>
      </c>
      <c r="E45" s="223">
        <f>Расчет!P44</f>
        <v>2</v>
      </c>
    </row>
    <row r="46" spans="2:5" ht="15">
      <c r="B46" s="221">
        <v>42</v>
      </c>
      <c r="C46" s="222" t="str">
        <f>Расчет!B45</f>
        <v>Вермишель (высший сорт)</v>
      </c>
      <c r="D46" s="221" t="s">
        <v>44</v>
      </c>
      <c r="E46" s="223">
        <f>Расчет!P45</f>
        <v>0</v>
      </c>
    </row>
    <row r="47" spans="2:5" ht="15">
      <c r="B47" s="221">
        <v>43</v>
      </c>
      <c r="C47" s="222" t="str">
        <f>Расчет!B46</f>
        <v>Дрожжи сухие</v>
      </c>
      <c r="D47" s="221" t="s">
        <v>44</v>
      </c>
      <c r="E47" s="223">
        <f>Расчет!P46</f>
        <v>0</v>
      </c>
    </row>
    <row r="48" spans="2:5" ht="15">
      <c r="B48" s="221">
        <v>44</v>
      </c>
      <c r="C48" s="222" t="str">
        <f>Расчет!B47</f>
        <v>Соль йодированная</v>
      </c>
      <c r="D48" s="221" t="s">
        <v>44</v>
      </c>
      <c r="E48" s="223">
        <f>Расчет!P47</f>
        <v>0</v>
      </c>
    </row>
    <row r="49" spans="2:5" ht="15">
      <c r="B49" s="221">
        <v>45</v>
      </c>
      <c r="C49" s="222">
        <f>Расчет!B48</f>
        <v>0</v>
      </c>
      <c r="D49" s="221" t="s">
        <v>44</v>
      </c>
      <c r="E49" s="223">
        <f>Расчет!P48</f>
        <v>0</v>
      </c>
    </row>
    <row r="50" spans="2:5" ht="15">
      <c r="B50" s="221">
        <v>46</v>
      </c>
      <c r="C50" s="222" t="str">
        <f>Расчет!B49</f>
        <v>Кофейный напиток (ячменный)</v>
      </c>
      <c r="D50" s="221" t="s">
        <v>44</v>
      </c>
      <c r="E50" s="223">
        <f>Расчет!P49</f>
        <v>0</v>
      </c>
    </row>
    <row r="51" spans="2:5" ht="15">
      <c r="B51" s="221">
        <v>47</v>
      </c>
      <c r="C51" s="222" t="str">
        <f>Расчет!B50</f>
        <v>Какао порошок</v>
      </c>
      <c r="D51" s="221" t="s">
        <v>44</v>
      </c>
      <c r="E51" s="223">
        <f>Расчет!P50</f>
        <v>0</v>
      </c>
    </row>
    <row r="52" spans="2:5" ht="15">
      <c r="B52" s="221">
        <v>48</v>
      </c>
      <c r="C52" s="222" t="str">
        <f>Расчет!B51</f>
        <v>Чай черный (1 сорт)</v>
      </c>
      <c r="D52" s="221" t="s">
        <v>44</v>
      </c>
      <c r="E52" s="223">
        <f>Расчет!P51</f>
        <v>0.1</v>
      </c>
    </row>
    <row r="53" spans="2:5" ht="15">
      <c r="B53" s="221">
        <v>49</v>
      </c>
      <c r="C53" s="222" t="str">
        <f>Расчет!B52</f>
        <v>Лавровый лист</v>
      </c>
      <c r="D53" s="221" t="s">
        <v>44</v>
      </c>
      <c r="E53" s="223">
        <f>Расчет!P52</f>
        <v>0</v>
      </c>
    </row>
    <row r="54" spans="2:5" ht="15">
      <c r="B54" s="221">
        <v>50</v>
      </c>
      <c r="C54" s="222" t="str">
        <f>Расчет!B53</f>
        <v>Хлеб пшеничный</v>
      </c>
      <c r="D54" s="221" t="s">
        <v>44</v>
      </c>
      <c r="E54" s="223">
        <f>Расчет!P53</f>
        <v>0</v>
      </c>
    </row>
    <row r="55" spans="2:5" ht="15">
      <c r="B55" s="221">
        <v>51</v>
      </c>
      <c r="C55" s="222" t="str">
        <f>Расчет!B54</f>
        <v>Пряник 1 сорт</v>
      </c>
      <c r="D55" s="221" t="s">
        <v>44</v>
      </c>
      <c r="E55" s="223">
        <f>Расчет!P54</f>
        <v>0</v>
      </c>
    </row>
    <row r="56" spans="2:5" ht="15">
      <c r="B56" s="221">
        <v>52</v>
      </c>
      <c r="C56" s="222" t="str">
        <f>Расчет!B55</f>
        <v>Фасоль сухая (1 сорт)</v>
      </c>
      <c r="D56" s="221" t="s">
        <v>44</v>
      </c>
      <c r="E56" s="223">
        <f>Расчет!P55</f>
        <v>0</v>
      </c>
    </row>
    <row r="57" spans="2:5" ht="15">
      <c r="B57" s="221">
        <v>53</v>
      </c>
      <c r="C57" s="222" t="str">
        <f>Расчет!B56</f>
        <v>Лимон свежий (1 сорт)</v>
      </c>
      <c r="D57" s="221" t="s">
        <v>44</v>
      </c>
      <c r="E57" s="223">
        <f>Расчет!P56</f>
        <v>0</v>
      </c>
    </row>
    <row r="58" spans="2:5" ht="15">
      <c r="B58" s="221"/>
      <c r="C58" s="222"/>
      <c r="D58" s="221"/>
      <c r="E58" s="223"/>
    </row>
    <row r="59" ht="12.75">
      <c r="C59" s="64"/>
    </row>
    <row r="60" ht="12.75">
      <c r="B60" t="s">
        <v>207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Калинина</cp:lastModifiedBy>
  <cp:lastPrinted>2024-02-09T14:44:39Z</cp:lastPrinted>
  <dcterms:created xsi:type="dcterms:W3CDTF">2008-09-10T13:23:40Z</dcterms:created>
  <dcterms:modified xsi:type="dcterms:W3CDTF">2024-02-09T14:45:04Z</dcterms:modified>
  <cp:category/>
  <cp:version/>
  <cp:contentType/>
  <cp:contentStatus/>
</cp:coreProperties>
</file>