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1"/>
  </bookViews>
  <sheets>
    <sheet name="Лист5" sheetId="1" state="hidden" r:id="rId1"/>
    <sheet name="Меню март-май 2024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март-май 2024'!$B$1:$I$455</definedName>
    <definedName name="_xlnm.Print_Area" localSheetId="5">'Остатки'!$A$1:$G$58</definedName>
    <definedName name="_xlnm.Print_Area" localSheetId="4">'Расчет'!$A$1:$Q$66</definedName>
  </definedNames>
  <calcPr fullCalcOnLoad="1" fullPrecision="0"/>
</workbook>
</file>

<file path=xl/sharedStrings.xml><?xml version="1.0" encoding="utf-8"?>
<sst xmlns="http://schemas.openxmlformats.org/spreadsheetml/2006/main" count="933" uniqueCount="234">
  <si>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</si>
  <si>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</si>
  <si>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</si>
  <si>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</si>
  <si>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</si>
  <si>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</si>
  <si>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</si>
  <si>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</si>
  <si>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</si>
  <si>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</si>
  <si>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</si>
  <si>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</si>
  <si>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</si>
  <si>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</si>
  <si>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</si>
  <si>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</si>
  <si>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</si>
  <si>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</si>
  <si>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</si>
  <si>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</si>
  <si>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</si>
  <si>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</si>
  <si>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</si>
  <si>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</si>
  <si>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</si>
  <si>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</si>
  <si>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</si>
  <si>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</si>
  <si>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</si>
  <si>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</si>
  <si>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</si>
  <si>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</si>
  <si>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</si>
  <si>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</si>
  <si>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</si>
  <si>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</si>
  <si>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</si>
  <si>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</si>
  <si>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</si>
  <si>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</si>
  <si>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</si>
  <si>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</si>
  <si>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</si>
  <si>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</si>
  <si>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</si>
  <si>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</si>
  <si>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</si>
  <si>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</si>
  <si>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</si>
  <si>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</si>
  <si>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</si>
  <si>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</si>
  <si>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</si>
  <si>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</si>
  <si>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</si>
  <si>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</si>
  <si>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</si>
  <si>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</si>
  <si>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</si>
  <si>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</si>
  <si>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</si>
  <si>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</si>
  <si>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</si>
  <si>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</si>
  <si>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</si>
  <si>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</si>
  <si>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</si>
  <si>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</si>
  <si>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</si>
  <si>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</si>
  <si>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</si>
  <si>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</si>
  <si>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</si>
  <si>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</si>
  <si>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</si>
  <si>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</si>
  <si>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</si>
  <si>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</si>
  <si>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</si>
  <si>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Кофейный напиток</t>
  </si>
  <si>
    <t>По меню</t>
  </si>
  <si>
    <t>Хлеб ржаной</t>
  </si>
  <si>
    <t>Соль йодированная</t>
  </si>
  <si>
    <t>Свекольник со сметаной</t>
  </si>
  <si>
    <t>Плов из курицы</t>
  </si>
  <si>
    <t>НАИМЕНОВАНИЕ ПРОДУКТОВ</t>
  </si>
  <si>
    <t>Масло растительное, рафинированное</t>
  </si>
  <si>
    <t>Кол-во</t>
  </si>
  <si>
    <t>Лук репчатый (1 сорт)</t>
  </si>
  <si>
    <t>Какао порошок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</si>
  <si>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</si>
  <si>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</si>
  <si>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</si>
  <si>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</si>
  <si>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</si>
  <si>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</si>
  <si>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</si>
  <si>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</si>
  <si>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</si>
  <si>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</si>
  <si>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Яйцо (1 сорт)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</si>
  <si>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</si>
  <si>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</si>
  <si>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</si>
  <si>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</si>
  <si>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</si>
  <si>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</si>
  <si>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</si>
  <si>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</si>
  <si>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</si>
  <si>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</si>
  <si>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</si>
  <si>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</si>
  <si>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Мука пшеничная (высший сорт)</t>
  </si>
  <si>
    <t>Дрожжи сухие</t>
  </si>
  <si>
    <t>Кофейный напиток (ячменный)</t>
  </si>
  <si>
    <t>Чай черный (1 сорт)</t>
  </si>
  <si>
    <t>Завтрак</t>
  </si>
  <si>
    <t xml:space="preserve"> Обед</t>
  </si>
  <si>
    <t>Всего обеды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</si>
  <si>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</si>
  <si>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</si>
  <si>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</si>
  <si>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</si>
  <si>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</si>
  <si>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Каша гречневая гарнир</t>
  </si>
  <si>
    <t>кофе</t>
  </si>
  <si>
    <t>Птица тушеная с соусом</t>
  </si>
  <si>
    <t>куры</t>
  </si>
  <si>
    <t>Какао с молоком</t>
  </si>
  <si>
    <t>какао</t>
  </si>
  <si>
    <t>Фрукты свежие (яблоко)</t>
  </si>
  <si>
    <t>яблоко</t>
  </si>
  <si>
    <t>сгущенным молоком</t>
  </si>
  <si>
    <t xml:space="preserve">Хлеб пшеничный </t>
  </si>
  <si>
    <t>соус</t>
  </si>
  <si>
    <t xml:space="preserve">хлеб </t>
  </si>
  <si>
    <t xml:space="preserve"> Хлеб пшеничный</t>
  </si>
  <si>
    <t>завтрак 1 смена</t>
  </si>
  <si>
    <t>обед 2 смена</t>
  </si>
  <si>
    <t xml:space="preserve">                                       </t>
  </si>
  <si>
    <t>Каша пшенная гарнир</t>
  </si>
  <si>
    <t>пшено</t>
  </si>
  <si>
    <t xml:space="preserve">чай </t>
  </si>
  <si>
    <t>№ рецептуры</t>
  </si>
  <si>
    <t>Дата:</t>
  </si>
  <si>
    <t>хлеб зам.сух</t>
  </si>
  <si>
    <t>Суп картофельный с горохом</t>
  </si>
  <si>
    <t>Котлета  из говядины с соусом</t>
  </si>
  <si>
    <t>Суп картофельный с клецками</t>
  </si>
  <si>
    <t>Бефстроганов из говядины</t>
  </si>
  <si>
    <t>со сметаной</t>
  </si>
  <si>
    <t>Запеканка творожная со</t>
  </si>
  <si>
    <t>Салат из соленых огурцов</t>
  </si>
  <si>
    <t>Салат из зеленого горошка</t>
  </si>
  <si>
    <t>зеленый горошек</t>
  </si>
  <si>
    <t>Салат из свеклы с зеленым горошком</t>
  </si>
  <si>
    <t>Салат из свеклы</t>
  </si>
  <si>
    <t>горошек зеленый</t>
  </si>
  <si>
    <t>соль йод</t>
  </si>
  <si>
    <t>Прохладный КБР" Калинина А.Е.</t>
  </si>
  <si>
    <t>ед. изм.</t>
  </si>
  <si>
    <t>Исп. вед технолог по пит.</t>
  </si>
  <si>
    <t>Калинина А.Е.</t>
  </si>
  <si>
    <t>вермишелью</t>
  </si>
  <si>
    <t>Яйцо отварное</t>
  </si>
  <si>
    <t>Икра кабачковая</t>
  </si>
  <si>
    <t>икра</t>
  </si>
  <si>
    <t>Булочка "Домашняя"</t>
  </si>
  <si>
    <t>дрожжи</t>
  </si>
  <si>
    <t>гречкой</t>
  </si>
  <si>
    <t>гречка</t>
  </si>
  <si>
    <t>Каша пшеничная гарнир</t>
  </si>
  <si>
    <t>крупа пшеничная</t>
  </si>
  <si>
    <t>Сахар-песок</t>
  </si>
  <si>
    <t>Печенье в ассортименте</t>
  </si>
  <si>
    <t>200/10</t>
  </si>
  <si>
    <t>Картофель (1 сорт)</t>
  </si>
  <si>
    <t>Икра кабачковая для дет. питания</t>
  </si>
  <si>
    <t>Сметана (15%)</t>
  </si>
  <si>
    <t>Молоко сгущенное цельное с сахаром (8,5%)</t>
  </si>
  <si>
    <t>Рыба с/м (1 сорт), минтай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</si>
  <si>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</si>
  <si>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</si>
  <si>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</si>
  <si>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</si>
  <si>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</si>
  <si>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</si>
  <si>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</si>
  <si>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</si>
  <si>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</si>
  <si>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Пряник 1 сорт</t>
  </si>
  <si>
    <t>Булочка "Бархатная"</t>
  </si>
  <si>
    <t>крошка</t>
  </si>
  <si>
    <t>птица отварная</t>
  </si>
  <si>
    <t>Пицца "Школьная"</t>
  </si>
  <si>
    <t>Каша ячневая гарнир</t>
  </si>
  <si>
    <t>крупа ячневая</t>
  </si>
  <si>
    <t>Фрукты свежие (банан)</t>
  </si>
  <si>
    <t>банан</t>
  </si>
  <si>
    <t>250/10</t>
  </si>
  <si>
    <t>Пряник</t>
  </si>
  <si>
    <t>пряник</t>
  </si>
  <si>
    <t>Сок фруктовый</t>
  </si>
  <si>
    <t>сок</t>
  </si>
  <si>
    <t>Конфеты шоколадные</t>
  </si>
  <si>
    <t xml:space="preserve">Рыба запеченная с сыром и луком </t>
  </si>
  <si>
    <t>Суп фасолевый</t>
  </si>
  <si>
    <t>фасоль</t>
  </si>
  <si>
    <t>Фасоль сухая</t>
  </si>
  <si>
    <t>Рыба запеченная</t>
  </si>
  <si>
    <t>Мясо говядины без кости (1 категории)</t>
  </si>
  <si>
    <t>Огурцы консервированные без уксуса (1 с)</t>
  </si>
  <si>
    <t>Картофель по-деревенски</t>
  </si>
  <si>
    <t>Макаронник с мясом</t>
  </si>
  <si>
    <t>Рис отварной</t>
  </si>
  <si>
    <t>Куры запеченные</t>
  </si>
  <si>
    <t>Чай с лимоном</t>
  </si>
  <si>
    <t>лимон</t>
  </si>
  <si>
    <t>Лимон свежий (1 сорт)</t>
  </si>
  <si>
    <t>Шницель</t>
  </si>
  <si>
    <t>Макароны запеченные с сыром</t>
  </si>
  <si>
    <t>весенний период начальная школа 2024 г.</t>
  </si>
  <si>
    <t>Мясо птицы (1 категории), курица</t>
  </si>
  <si>
    <t>Кефир м.д.ж. 2,5%</t>
  </si>
  <si>
    <t>80/50</t>
  </si>
  <si>
    <t>Винегрет овощной</t>
  </si>
  <si>
    <t>240/30</t>
  </si>
  <si>
    <t>Груши свежие (1 сорт)</t>
  </si>
  <si>
    <t>Фрукты свежие (груши)</t>
  </si>
  <si>
    <t>груши</t>
  </si>
  <si>
    <t>Таблица расчета необходимого количества продуктов питания для МБОУ Гимназия № 6 на март - май 2024 г. (республика)</t>
  </si>
  <si>
    <t>Примерные остатки продуктов на 1 марта 2024 г. Гимназия № 6</t>
  </si>
  <si>
    <t>республика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</si>
</sst>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9" fillId="24" borderId="10" xfId="0" applyNumberFormat="1" applyFont="1" applyFill="1" applyBorder="1" applyAlignment="1">
      <alignment horizontal="center"/>
    </xf>
    <xf numFmtId="2" fontId="9" fillId="24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3" fillId="25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left" wrapText="1"/>
    </xf>
    <xf numFmtId="2" fontId="4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2" fontId="4" fillId="25" borderId="10" xfId="0" applyNumberFormat="1" applyFont="1" applyFill="1" applyBorder="1" applyAlignment="1">
      <alignment/>
    </xf>
    <xf numFmtId="2" fontId="10" fillId="25" borderId="10" xfId="0" applyNumberFormat="1" applyFont="1" applyFill="1" applyBorder="1" applyAlignment="1">
      <alignment/>
    </xf>
    <xf numFmtId="2" fontId="4" fillId="25" borderId="10" xfId="0" applyNumberFormat="1" applyFont="1" applyFill="1" applyBorder="1" applyAlignment="1">
      <alignment wrapText="1"/>
    </xf>
    <xf numFmtId="0" fontId="10" fillId="25" borderId="1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25" borderId="0" xfId="0" applyFont="1" applyFill="1" applyAlignment="1">
      <alignment vertical="center"/>
    </xf>
    <xf numFmtId="0" fontId="4" fillId="26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2" fontId="8" fillId="24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10" fillId="24" borderId="10" xfId="0" applyNumberFormat="1" applyFont="1" applyFill="1" applyBorder="1" applyAlignment="1">
      <alignment/>
    </xf>
    <xf numFmtId="1" fontId="10" fillId="26" borderId="10" xfId="0" applyNumberFormat="1" applyFont="1" applyFill="1" applyBorder="1" applyAlignment="1">
      <alignment/>
    </xf>
    <xf numFmtId="2" fontId="10" fillId="11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25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3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25" borderId="0" xfId="0" applyNumberFormat="1" applyFont="1" applyFill="1" applyAlignment="1">
      <alignment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/>
    </xf>
    <xf numFmtId="0" fontId="10" fillId="25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26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 vertical="center"/>
    </xf>
    <xf numFmtId="172" fontId="10" fillId="2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9" fillId="5" borderId="0" xfId="0" applyFont="1" applyFill="1" applyAlignment="1">
      <alignment horizontal="center"/>
    </xf>
    <xf numFmtId="0" fontId="0" fillId="0" borderId="0" xfId="0" applyAlignment="1">
      <alignment/>
    </xf>
    <xf numFmtId="2" fontId="10" fillId="25" borderId="11" xfId="0" applyNumberFormat="1" applyFont="1" applyFill="1" applyBorder="1" applyAlignment="1">
      <alignment horizontal="right" wrapText="1"/>
    </xf>
    <xf numFmtId="2" fontId="10" fillId="25" borderId="20" xfId="0" applyNumberFormat="1" applyFont="1" applyFill="1" applyBorder="1" applyAlignment="1">
      <alignment horizontal="right" wrapText="1"/>
    </xf>
    <xf numFmtId="2" fontId="10" fillId="25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V456"/>
  <sheetViews>
    <sheetView tabSelected="1" workbookViewId="0" topLeftCell="D2">
      <selection activeCell="P2" sqref="P2"/>
    </sheetView>
  </sheetViews>
  <sheetFormatPr defaultColWidth="9.00390625" defaultRowHeight="12.75"/>
  <cols>
    <col min="1" max="1" width="3.25390625" style="1" customWidth="1"/>
    <col min="2" max="2" width="5.375" style="1" customWidth="1"/>
    <col min="3" max="3" width="38.00390625" style="1" customWidth="1"/>
    <col min="4" max="4" width="8.25390625" style="1" customWidth="1"/>
    <col min="5" max="5" width="19.75390625" style="1" customWidth="1"/>
    <col min="6" max="7" width="10.625" style="1" customWidth="1"/>
    <col min="8" max="8" width="10.75390625" style="1" customWidth="1"/>
    <col min="9" max="9" width="12.125" style="1" customWidth="1"/>
    <col min="10" max="10" width="10.25390625" style="1" customWidth="1"/>
    <col min="11" max="11" width="9.25390625" style="1" customWidth="1"/>
    <col min="12" max="12" width="10.625" style="1" bestFit="1" customWidth="1"/>
    <col min="13" max="13" width="8.375" style="1" bestFit="1" customWidth="1"/>
    <col min="14" max="14" width="8.625" style="154" customWidth="1"/>
    <col min="15" max="15" width="11.00390625" style="152" customWidth="1"/>
    <col min="16" max="16" width="41.875" style="1" customWidth="1"/>
    <col min="17" max="17" width="5.25390625" style="1" customWidth="1"/>
    <col min="18" max="18" width="10.375" style="1" customWidth="1"/>
    <col min="19" max="19" width="9.125" style="1" customWidth="1"/>
    <col min="20" max="20" width="13.25390625" style="1" customWidth="1"/>
    <col min="21" max="16384" width="9.125" style="1" customWidth="1"/>
  </cols>
  <sheetData>
    <row r="1" spans="3:6" ht="15">
      <c r="C1" s="65"/>
      <c r="D1" s="73"/>
      <c r="E1" s="73"/>
      <c r="F1" s="70"/>
    </row>
    <row r="2" spans="3:16" ht="15">
      <c r="C2" s="150"/>
      <c r="D2" s="260" t="s">
        <v>222</v>
      </c>
      <c r="E2" s="261"/>
      <c r="F2" s="261"/>
      <c r="G2" s="261"/>
      <c r="H2" s="261"/>
      <c r="J2" s="70"/>
      <c r="O2" s="152">
        <v>0</v>
      </c>
      <c r="P2" s="1">
        <v>0</v>
      </c>
    </row>
    <row r="3" spans="2:14" ht="15">
      <c r="B3" s="21"/>
      <c r="C3" s="63" t="s">
        <v>64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155"/>
    </row>
    <row r="4" spans="2:14" ht="29.25" customHeight="1">
      <c r="B4" s="253" t="s">
        <v>3</v>
      </c>
      <c r="C4" s="8"/>
      <c r="D4" s="183" t="s">
        <v>4</v>
      </c>
      <c r="E4" s="253" t="s">
        <v>29</v>
      </c>
      <c r="F4" s="96" t="s">
        <v>12</v>
      </c>
      <c r="G4" s="96" t="s">
        <v>57</v>
      </c>
      <c r="H4" s="96" t="s">
        <v>30</v>
      </c>
      <c r="I4" s="96" t="s">
        <v>31</v>
      </c>
      <c r="J4" s="252" t="s">
        <v>70</v>
      </c>
      <c r="K4" s="252" t="s">
        <v>71</v>
      </c>
      <c r="L4" s="252" t="s">
        <v>72</v>
      </c>
      <c r="M4" s="252" t="s">
        <v>73</v>
      </c>
      <c r="N4" s="250" t="s">
        <v>144</v>
      </c>
    </row>
    <row r="5" spans="2:18" ht="15">
      <c r="B5" s="257"/>
      <c r="C5" s="71" t="s">
        <v>138</v>
      </c>
      <c r="D5" s="5" t="s">
        <v>32</v>
      </c>
      <c r="E5" s="255"/>
      <c r="F5" s="5" t="s">
        <v>32</v>
      </c>
      <c r="G5" s="5" t="s">
        <v>32</v>
      </c>
      <c r="H5" s="5" t="s">
        <v>33</v>
      </c>
      <c r="I5" s="5" t="s">
        <v>34</v>
      </c>
      <c r="J5" s="251"/>
      <c r="K5" s="251"/>
      <c r="L5" s="251"/>
      <c r="M5" s="251"/>
      <c r="N5" s="258"/>
      <c r="P5" s="59" t="s">
        <v>100</v>
      </c>
      <c r="Q5" s="6" t="s">
        <v>48</v>
      </c>
      <c r="R5" s="51">
        <v>13.5</v>
      </c>
    </row>
    <row r="6" spans="2:18" ht="15">
      <c r="B6" s="5">
        <v>1</v>
      </c>
      <c r="C6" s="202" t="s">
        <v>216</v>
      </c>
      <c r="D6" s="5">
        <v>90</v>
      </c>
      <c r="E6" s="5" t="s">
        <v>76</v>
      </c>
      <c r="F6" s="5">
        <v>138</v>
      </c>
      <c r="G6" s="5">
        <v>103</v>
      </c>
      <c r="H6" s="168">
        <f>R7</f>
        <v>292</v>
      </c>
      <c r="I6" s="16">
        <f aca="true" t="shared" si="0" ref="I6:I11">F6*H6/1000</f>
        <v>40.3</v>
      </c>
      <c r="J6" s="16"/>
      <c r="K6" s="16"/>
      <c r="L6" s="16"/>
      <c r="M6" s="16"/>
      <c r="N6" s="44"/>
      <c r="O6" s="153"/>
      <c r="P6" s="60" t="s">
        <v>211</v>
      </c>
      <c r="Q6" s="6" t="s">
        <v>44</v>
      </c>
      <c r="R6" s="6">
        <v>622</v>
      </c>
    </row>
    <row r="7" spans="2:18" ht="15" customHeight="1">
      <c r="B7" s="5"/>
      <c r="C7" s="3"/>
      <c r="D7" s="5"/>
      <c r="E7" s="5" t="s">
        <v>9</v>
      </c>
      <c r="F7" s="5">
        <v>8</v>
      </c>
      <c r="G7" s="5">
        <v>8</v>
      </c>
      <c r="H7" s="168">
        <f>R14</f>
        <v>199</v>
      </c>
      <c r="I7" s="16">
        <f t="shared" si="0"/>
        <v>1.59</v>
      </c>
      <c r="J7" s="16">
        <v>31.45</v>
      </c>
      <c r="K7" s="16">
        <v>36.77</v>
      </c>
      <c r="L7" s="16">
        <v>6.53</v>
      </c>
      <c r="M7" s="16">
        <v>482.85</v>
      </c>
      <c r="N7" s="44">
        <v>703</v>
      </c>
      <c r="O7" s="153">
        <f>(J7+L7)*4+K7*9</f>
        <v>482.85</v>
      </c>
      <c r="P7" s="60" t="s">
        <v>223</v>
      </c>
      <c r="Q7" s="6" t="s">
        <v>44</v>
      </c>
      <c r="R7" s="6">
        <v>292</v>
      </c>
    </row>
    <row r="8" spans="2:18" ht="15" customHeight="1">
      <c r="B8" s="5">
        <v>2</v>
      </c>
      <c r="C8" s="202" t="s">
        <v>221</v>
      </c>
      <c r="D8" s="5">
        <v>150</v>
      </c>
      <c r="E8" s="5" t="s">
        <v>22</v>
      </c>
      <c r="F8" s="5">
        <v>45</v>
      </c>
      <c r="G8" s="5">
        <v>45</v>
      </c>
      <c r="H8" s="168">
        <f>R51</f>
        <v>46</v>
      </c>
      <c r="I8" s="16">
        <f t="shared" si="0"/>
        <v>2.07</v>
      </c>
      <c r="J8" s="76"/>
      <c r="K8" s="76"/>
      <c r="L8" s="76"/>
      <c r="M8" s="76"/>
      <c r="N8" s="44"/>
      <c r="O8" s="153"/>
      <c r="P8" s="60"/>
      <c r="Q8" s="6"/>
      <c r="R8" s="6"/>
    </row>
    <row r="9" spans="2:18" ht="15" customHeight="1">
      <c r="B9" s="5"/>
      <c r="C9" s="3"/>
      <c r="D9" s="5"/>
      <c r="E9" s="5" t="s">
        <v>23</v>
      </c>
      <c r="F9" s="19">
        <v>15</v>
      </c>
      <c r="G9" s="19">
        <v>15</v>
      </c>
      <c r="H9" s="168">
        <f>R16</f>
        <v>543</v>
      </c>
      <c r="I9" s="16">
        <f t="shared" si="0"/>
        <v>8.15</v>
      </c>
      <c r="J9" s="166"/>
      <c r="K9" s="166"/>
      <c r="L9" s="166"/>
      <c r="M9" s="166"/>
      <c r="N9" s="167"/>
      <c r="O9" s="153"/>
      <c r="P9" s="60"/>
      <c r="Q9" s="6"/>
      <c r="R9" s="6"/>
    </row>
    <row r="10" spans="2:18" ht="15" customHeight="1">
      <c r="B10" s="5"/>
      <c r="C10" s="202"/>
      <c r="D10" s="5"/>
      <c r="E10" s="5" t="s">
        <v>28</v>
      </c>
      <c r="F10" s="19">
        <v>7</v>
      </c>
      <c r="G10" s="19">
        <v>7</v>
      </c>
      <c r="H10" s="168">
        <f>R13</f>
        <v>467</v>
      </c>
      <c r="I10" s="16">
        <f t="shared" si="0"/>
        <v>3.27</v>
      </c>
      <c r="J10" s="16">
        <v>9.29</v>
      </c>
      <c r="K10" s="16">
        <v>10.01</v>
      </c>
      <c r="L10" s="16">
        <v>22.71</v>
      </c>
      <c r="M10" s="16">
        <v>218.09</v>
      </c>
      <c r="N10" s="44">
        <v>450</v>
      </c>
      <c r="O10" s="153">
        <f>(J10+L10)*4+K10*9</f>
        <v>218.09</v>
      </c>
      <c r="P10" s="60"/>
      <c r="Q10" s="6"/>
      <c r="R10" s="6"/>
    </row>
    <row r="11" spans="2:18" ht="15" customHeight="1">
      <c r="B11" s="5">
        <v>3</v>
      </c>
      <c r="C11" s="202" t="s">
        <v>35</v>
      </c>
      <c r="D11" s="15">
        <v>50</v>
      </c>
      <c r="E11" s="5" t="s">
        <v>19</v>
      </c>
      <c r="F11" s="19">
        <v>50</v>
      </c>
      <c r="G11" s="19">
        <v>50</v>
      </c>
      <c r="H11" s="168">
        <f>R60</f>
        <v>48</v>
      </c>
      <c r="I11" s="16">
        <f t="shared" si="0"/>
        <v>2.4</v>
      </c>
      <c r="J11" s="189">
        <v>3.06</v>
      </c>
      <c r="K11" s="189">
        <v>9.54</v>
      </c>
      <c r="L11" s="189">
        <v>18.28</v>
      </c>
      <c r="M11" s="189">
        <f>(J11+L11)*4+K11*9</f>
        <v>171.22</v>
      </c>
      <c r="N11" s="44"/>
      <c r="O11" s="153">
        <f>(J11+L11)*4+K11*9</f>
        <v>171.22</v>
      </c>
      <c r="P11" s="60"/>
      <c r="Q11" s="6"/>
      <c r="R11" s="6"/>
    </row>
    <row r="12" spans="2:18" ht="15" customHeight="1">
      <c r="B12" s="5">
        <v>4</v>
      </c>
      <c r="C12" s="175" t="s">
        <v>168</v>
      </c>
      <c r="D12" s="176">
        <v>100</v>
      </c>
      <c r="E12" s="177" t="s">
        <v>74</v>
      </c>
      <c r="F12" s="177">
        <v>74</v>
      </c>
      <c r="G12" s="177">
        <v>74</v>
      </c>
      <c r="H12" s="168">
        <f>R39</f>
        <v>40</v>
      </c>
      <c r="I12" s="16">
        <f aca="true" t="shared" si="1" ref="I12:I17">F12*H12/1000</f>
        <v>2.96</v>
      </c>
      <c r="J12" s="76"/>
      <c r="K12" s="76"/>
      <c r="L12" s="76"/>
      <c r="M12" s="76"/>
      <c r="N12" s="190"/>
      <c r="O12" s="153"/>
      <c r="P12" s="60" t="s">
        <v>101</v>
      </c>
      <c r="Q12" s="6" t="s">
        <v>45</v>
      </c>
      <c r="R12" s="6">
        <v>72</v>
      </c>
    </row>
    <row r="13" spans="2:18" ht="15" customHeight="1">
      <c r="B13" s="5"/>
      <c r="C13" s="175"/>
      <c r="D13" s="176"/>
      <c r="E13" s="177" t="s">
        <v>2</v>
      </c>
      <c r="F13" s="177">
        <v>7</v>
      </c>
      <c r="G13" s="177">
        <v>7</v>
      </c>
      <c r="H13" s="168">
        <f>R50</f>
        <v>85</v>
      </c>
      <c r="I13" s="16">
        <f t="shared" si="1"/>
        <v>0.6</v>
      </c>
      <c r="J13" s="192"/>
      <c r="K13" s="192"/>
      <c r="L13" s="192"/>
      <c r="M13" s="189"/>
      <c r="N13" s="193"/>
      <c r="O13" s="153"/>
      <c r="P13" s="59" t="s">
        <v>46</v>
      </c>
      <c r="Q13" s="6" t="s">
        <v>44</v>
      </c>
      <c r="R13" s="6">
        <v>467</v>
      </c>
    </row>
    <row r="14" spans="2:18" ht="15" customHeight="1">
      <c r="B14" s="5"/>
      <c r="C14" s="175"/>
      <c r="D14" s="176"/>
      <c r="E14" s="177" t="s">
        <v>10</v>
      </c>
      <c r="F14" s="177">
        <v>27</v>
      </c>
      <c r="G14" s="177">
        <v>27</v>
      </c>
      <c r="H14" s="168">
        <f>R12</f>
        <v>72</v>
      </c>
      <c r="I14" s="16">
        <f t="shared" si="1"/>
        <v>1.94</v>
      </c>
      <c r="J14" s="16"/>
      <c r="K14" s="16"/>
      <c r="L14" s="16"/>
      <c r="M14" s="16"/>
      <c r="N14" s="44"/>
      <c r="O14" s="153"/>
      <c r="P14" s="60" t="s">
        <v>179</v>
      </c>
      <c r="Q14" s="6" t="s">
        <v>44</v>
      </c>
      <c r="R14" s="6">
        <v>199</v>
      </c>
    </row>
    <row r="15" spans="2:18" ht="15">
      <c r="B15" s="5"/>
      <c r="C15" s="175"/>
      <c r="D15" s="176"/>
      <c r="E15" s="177" t="s">
        <v>11</v>
      </c>
      <c r="F15" s="177">
        <v>0.2</v>
      </c>
      <c r="G15" s="177">
        <v>0.2</v>
      </c>
      <c r="H15" s="203">
        <f>R5</f>
        <v>13.5</v>
      </c>
      <c r="I15" s="16">
        <f>F15*H15</f>
        <v>2.7</v>
      </c>
      <c r="J15" s="16"/>
      <c r="K15" s="16"/>
      <c r="L15" s="16"/>
      <c r="M15" s="16"/>
      <c r="N15" s="44"/>
      <c r="O15" s="153"/>
      <c r="P15" s="60" t="s">
        <v>102</v>
      </c>
      <c r="Q15" s="6" t="s">
        <v>44</v>
      </c>
      <c r="R15" s="6">
        <v>217</v>
      </c>
    </row>
    <row r="16" spans="2:18" ht="15">
      <c r="B16" s="5"/>
      <c r="C16" s="175"/>
      <c r="D16" s="176"/>
      <c r="E16" s="177" t="s">
        <v>169</v>
      </c>
      <c r="F16" s="177">
        <v>1</v>
      </c>
      <c r="G16" s="177">
        <v>1</v>
      </c>
      <c r="H16" s="5">
        <f>R53</f>
        <v>377</v>
      </c>
      <c r="I16" s="16">
        <f t="shared" si="1"/>
        <v>0.38</v>
      </c>
      <c r="J16" s="76"/>
      <c r="K16" s="76"/>
      <c r="L16" s="76"/>
      <c r="M16" s="76"/>
      <c r="N16" s="44"/>
      <c r="O16" s="153"/>
      <c r="P16" s="60" t="s">
        <v>47</v>
      </c>
      <c r="Q16" s="6" t="s">
        <v>44</v>
      </c>
      <c r="R16" s="6">
        <v>543</v>
      </c>
    </row>
    <row r="17" spans="2:18" ht="15">
      <c r="B17" s="5"/>
      <c r="C17" s="175"/>
      <c r="D17" s="176"/>
      <c r="E17" s="177" t="s">
        <v>26</v>
      </c>
      <c r="F17" s="177">
        <v>6</v>
      </c>
      <c r="G17" s="177">
        <v>6</v>
      </c>
      <c r="H17" s="5">
        <f>R36</f>
        <v>145</v>
      </c>
      <c r="I17" s="16">
        <f t="shared" si="1"/>
        <v>0.87</v>
      </c>
      <c r="J17" s="194">
        <v>7.76</v>
      </c>
      <c r="K17" s="192">
        <v>5.08</v>
      </c>
      <c r="L17" s="192">
        <v>52.28</v>
      </c>
      <c r="M17" s="16">
        <v>285.88</v>
      </c>
      <c r="N17" s="178">
        <v>281</v>
      </c>
      <c r="O17" s="153">
        <f>(J17+L17)*4+K17*9</f>
        <v>285.88</v>
      </c>
      <c r="P17" s="60"/>
      <c r="Q17" s="6"/>
      <c r="R17" s="6"/>
    </row>
    <row r="18" spans="2:18" ht="15" customHeight="1">
      <c r="B18" s="5">
        <v>5</v>
      </c>
      <c r="C18" s="133" t="s">
        <v>13</v>
      </c>
      <c r="D18" s="34">
        <v>200</v>
      </c>
      <c r="E18" s="34" t="s">
        <v>14</v>
      </c>
      <c r="F18" s="34">
        <v>1</v>
      </c>
      <c r="G18" s="34">
        <v>1</v>
      </c>
      <c r="H18" s="5">
        <f>R58</f>
        <v>507</v>
      </c>
      <c r="I18" s="16">
        <f>F18*H18/1000</f>
        <v>0.51</v>
      </c>
      <c r="J18" s="76"/>
      <c r="K18" s="76"/>
      <c r="L18" s="76"/>
      <c r="M18" s="76"/>
      <c r="N18" s="44"/>
      <c r="O18" s="153"/>
      <c r="P18" s="60"/>
      <c r="Q18" s="6"/>
      <c r="R18" s="6"/>
    </row>
    <row r="19" spans="2:18" ht="15" customHeight="1">
      <c r="B19" s="5"/>
      <c r="C19" s="133"/>
      <c r="D19" s="34"/>
      <c r="E19" s="34" t="s">
        <v>2</v>
      </c>
      <c r="F19" s="5">
        <v>12</v>
      </c>
      <c r="G19" s="5">
        <v>12</v>
      </c>
      <c r="H19" s="5">
        <f>R50</f>
        <v>85</v>
      </c>
      <c r="I19" s="16">
        <f>F19*H19/1000</f>
        <v>1.02</v>
      </c>
      <c r="J19" s="76">
        <v>0.2</v>
      </c>
      <c r="K19" s="76">
        <v>0</v>
      </c>
      <c r="L19" s="76">
        <v>14</v>
      </c>
      <c r="M19" s="76">
        <v>56.8</v>
      </c>
      <c r="N19" s="44">
        <v>376</v>
      </c>
      <c r="O19" s="153">
        <f>(J19+L19)*4+K19*9</f>
        <v>56.8</v>
      </c>
      <c r="P19" s="60" t="s">
        <v>224</v>
      </c>
      <c r="Q19" s="6" t="s">
        <v>45</v>
      </c>
      <c r="R19" s="6">
        <v>72</v>
      </c>
    </row>
    <row r="20" spans="2:18" s="30" customFormat="1" ht="15" customHeight="1">
      <c r="B20" s="5">
        <v>6</v>
      </c>
      <c r="C20" s="186" t="s">
        <v>131</v>
      </c>
      <c r="D20" s="12">
        <v>100</v>
      </c>
      <c r="E20" s="12" t="s">
        <v>132</v>
      </c>
      <c r="F20" s="5">
        <v>100</v>
      </c>
      <c r="G20" s="5"/>
      <c r="H20" s="5">
        <f>R30</f>
        <v>110</v>
      </c>
      <c r="I20" s="16">
        <f>F20*H20/1000</f>
        <v>11</v>
      </c>
      <c r="J20" s="16">
        <v>0.4</v>
      </c>
      <c r="K20" s="16">
        <v>0.4</v>
      </c>
      <c r="L20" s="16">
        <v>9.8</v>
      </c>
      <c r="M20" s="16">
        <v>44.4</v>
      </c>
      <c r="N20" s="44">
        <v>368</v>
      </c>
      <c r="O20" s="153">
        <f>(J20+L20)*4+K20*9</f>
        <v>44.4</v>
      </c>
      <c r="P20" s="60" t="s">
        <v>180</v>
      </c>
      <c r="Q20" s="6" t="s">
        <v>44</v>
      </c>
      <c r="R20" s="6">
        <v>247</v>
      </c>
    </row>
    <row r="21" spans="2:18" s="30" customFormat="1" ht="15" customHeight="1">
      <c r="B21" s="5"/>
      <c r="C21" s="11"/>
      <c r="D21" s="12"/>
      <c r="E21" s="5" t="s">
        <v>159</v>
      </c>
      <c r="F21" s="5">
        <v>1.5</v>
      </c>
      <c r="G21" s="5">
        <v>1.5</v>
      </c>
      <c r="H21" s="5">
        <f>R54</f>
        <v>27</v>
      </c>
      <c r="I21" s="16">
        <f>F21*H21/1000</f>
        <v>0.04</v>
      </c>
      <c r="J21" s="16"/>
      <c r="K21" s="16"/>
      <c r="L21" s="16"/>
      <c r="M21" s="16"/>
      <c r="N21" s="44"/>
      <c r="O21" s="153"/>
      <c r="P21" s="60" t="s">
        <v>177</v>
      </c>
      <c r="Q21" s="6" t="s">
        <v>44</v>
      </c>
      <c r="R21" s="6">
        <v>54</v>
      </c>
    </row>
    <row r="22" spans="2:18" s="30" customFormat="1" ht="15" customHeight="1">
      <c r="B22" s="5"/>
      <c r="C22" s="11"/>
      <c r="D22" s="12"/>
      <c r="E22" s="5"/>
      <c r="F22" s="5"/>
      <c r="G22" s="5"/>
      <c r="H22" s="5"/>
      <c r="I22" s="16"/>
      <c r="J22" s="16"/>
      <c r="K22" s="16"/>
      <c r="L22" s="16"/>
      <c r="M22" s="16"/>
      <c r="N22" s="44"/>
      <c r="O22" s="153"/>
      <c r="P22" s="60" t="s">
        <v>103</v>
      </c>
      <c r="Q22" s="6" t="s">
        <v>44</v>
      </c>
      <c r="R22" s="6">
        <v>57</v>
      </c>
    </row>
    <row r="23" spans="2:18" ht="15" customHeight="1">
      <c r="B23" s="2"/>
      <c r="C23" s="14"/>
      <c r="D23" s="196">
        <f>SUM(D6:D22)</f>
        <v>690</v>
      </c>
      <c r="E23" s="47"/>
      <c r="F23" s="47"/>
      <c r="G23" s="47"/>
      <c r="H23" s="5"/>
      <c r="I23" s="69">
        <f>SUM(I6:I22)</f>
        <v>79.8</v>
      </c>
      <c r="J23" s="69">
        <f>SUM(J6:J22)</f>
        <v>52.16</v>
      </c>
      <c r="K23" s="69">
        <f>SUM(K6:K22)</f>
        <v>61.8</v>
      </c>
      <c r="L23" s="69">
        <f>SUM(L6:L22)</f>
        <v>123.6</v>
      </c>
      <c r="M23" s="69">
        <f>SUM(M6:M22)</f>
        <v>1259.24</v>
      </c>
      <c r="N23" s="144"/>
      <c r="O23" s="153">
        <f>(J23+L23)*4+K23*9</f>
        <v>1259.24</v>
      </c>
      <c r="P23" s="60" t="s">
        <v>88</v>
      </c>
      <c r="Q23" s="6" t="s">
        <v>44</v>
      </c>
      <c r="R23" s="6">
        <v>49</v>
      </c>
    </row>
    <row r="24" spans="2:18" ht="15" customHeight="1">
      <c r="B24" s="5"/>
      <c r="C24" s="72" t="s">
        <v>139</v>
      </c>
      <c r="D24" s="8"/>
      <c r="E24" s="8"/>
      <c r="F24" s="5"/>
      <c r="G24" s="5"/>
      <c r="H24" s="5"/>
      <c r="I24" s="38"/>
      <c r="J24" s="16"/>
      <c r="K24" s="16"/>
      <c r="L24" s="16"/>
      <c r="M24" s="16"/>
      <c r="N24" s="44"/>
      <c r="O24" s="153"/>
      <c r="P24" s="60" t="s">
        <v>104</v>
      </c>
      <c r="Q24" s="6" t="s">
        <v>44</v>
      </c>
      <c r="R24" s="6">
        <v>60</v>
      </c>
    </row>
    <row r="25" spans="2:18" ht="15">
      <c r="B25" s="5">
        <v>1</v>
      </c>
      <c r="C25" s="3" t="s">
        <v>83</v>
      </c>
      <c r="D25" s="5" t="s">
        <v>200</v>
      </c>
      <c r="E25" s="8" t="s">
        <v>15</v>
      </c>
      <c r="F25" s="5">
        <v>82</v>
      </c>
      <c r="G25" s="5">
        <v>67</v>
      </c>
      <c r="H25" s="5">
        <f>R25</f>
        <v>51</v>
      </c>
      <c r="I25" s="16">
        <f aca="true" t="shared" si="2" ref="I25:I32">F25*H25/1000</f>
        <v>4.18</v>
      </c>
      <c r="J25" s="16"/>
      <c r="K25" s="16"/>
      <c r="L25" s="16"/>
      <c r="M25" s="16"/>
      <c r="N25" s="44"/>
      <c r="O25" s="153"/>
      <c r="P25" s="60" t="s">
        <v>105</v>
      </c>
      <c r="Q25" s="6" t="s">
        <v>44</v>
      </c>
      <c r="R25" s="6">
        <v>51</v>
      </c>
    </row>
    <row r="26" spans="2:18" ht="15">
      <c r="B26" s="5"/>
      <c r="C26" s="3"/>
      <c r="D26" s="5"/>
      <c r="E26" s="5" t="s">
        <v>7</v>
      </c>
      <c r="F26" s="5">
        <v>68</v>
      </c>
      <c r="G26" s="5">
        <v>44</v>
      </c>
      <c r="H26" s="5">
        <f>R21</f>
        <v>54</v>
      </c>
      <c r="I26" s="16">
        <f t="shared" si="2"/>
        <v>3.67</v>
      </c>
      <c r="J26" s="16"/>
      <c r="K26" s="16"/>
      <c r="L26" s="16"/>
      <c r="M26" s="16"/>
      <c r="N26" s="44"/>
      <c r="O26" s="153"/>
      <c r="P26" s="59" t="s">
        <v>212</v>
      </c>
      <c r="Q26" s="6" t="s">
        <v>44</v>
      </c>
      <c r="R26" s="6">
        <v>74</v>
      </c>
    </row>
    <row r="27" spans="2:18" ht="15">
      <c r="B27" s="5"/>
      <c r="C27" s="3"/>
      <c r="D27" s="5"/>
      <c r="E27" s="5" t="s">
        <v>8</v>
      </c>
      <c r="F27" s="5">
        <v>13</v>
      </c>
      <c r="G27" s="5">
        <v>10</v>
      </c>
      <c r="H27" s="5">
        <f>R24</f>
        <v>60</v>
      </c>
      <c r="I27" s="16">
        <f t="shared" si="2"/>
        <v>0.78</v>
      </c>
      <c r="J27" s="16"/>
      <c r="K27" s="16"/>
      <c r="L27" s="16"/>
      <c r="M27" s="16"/>
      <c r="N27" s="44"/>
      <c r="O27" s="153"/>
      <c r="P27" s="60" t="s">
        <v>178</v>
      </c>
      <c r="Q27" s="6" t="s">
        <v>44</v>
      </c>
      <c r="R27" s="6">
        <v>123</v>
      </c>
    </row>
    <row r="28" spans="2:18" ht="15">
      <c r="B28" s="5"/>
      <c r="C28" s="3"/>
      <c r="D28" s="5"/>
      <c r="E28" s="5" t="s">
        <v>24</v>
      </c>
      <c r="F28" s="5">
        <v>12</v>
      </c>
      <c r="G28" s="5">
        <v>10</v>
      </c>
      <c r="H28" s="5">
        <f>R23</f>
        <v>49</v>
      </c>
      <c r="I28" s="16">
        <f t="shared" si="2"/>
        <v>0.59</v>
      </c>
      <c r="J28" s="16"/>
      <c r="K28" s="16"/>
      <c r="L28" s="16"/>
      <c r="M28" s="16"/>
      <c r="N28" s="44"/>
      <c r="O28" s="153"/>
      <c r="P28" s="60" t="s">
        <v>106</v>
      </c>
      <c r="Q28" s="6" t="s">
        <v>44</v>
      </c>
      <c r="R28" s="6">
        <v>123</v>
      </c>
    </row>
    <row r="29" spans="2:18" ht="14.25" customHeight="1">
      <c r="B29" s="5"/>
      <c r="C29" s="3"/>
      <c r="D29" s="5"/>
      <c r="E29" s="5" t="s">
        <v>26</v>
      </c>
      <c r="F29" s="5">
        <v>5</v>
      </c>
      <c r="G29" s="5">
        <v>5</v>
      </c>
      <c r="H29" s="5">
        <f>R36</f>
        <v>145</v>
      </c>
      <c r="I29" s="16">
        <f t="shared" si="2"/>
        <v>0.73</v>
      </c>
      <c r="J29" s="16"/>
      <c r="K29" s="16"/>
      <c r="L29" s="16"/>
      <c r="M29" s="16"/>
      <c r="N29" s="44"/>
      <c r="O29" s="153"/>
      <c r="P29" s="60" t="s">
        <v>107</v>
      </c>
      <c r="Q29" s="6" t="s">
        <v>44</v>
      </c>
      <c r="R29" s="6">
        <v>142</v>
      </c>
    </row>
    <row r="30" spans="2:18" ht="15">
      <c r="B30" s="5"/>
      <c r="C30" s="3"/>
      <c r="D30" s="5"/>
      <c r="E30" s="5" t="s">
        <v>18</v>
      </c>
      <c r="F30" s="5">
        <v>3</v>
      </c>
      <c r="G30" s="5">
        <v>3</v>
      </c>
      <c r="H30" s="5">
        <f>R29</f>
        <v>142</v>
      </c>
      <c r="I30" s="16">
        <f t="shared" si="2"/>
        <v>0.43</v>
      </c>
      <c r="J30" s="16"/>
      <c r="K30" s="16"/>
      <c r="L30" s="16"/>
      <c r="M30" s="16"/>
      <c r="N30" s="44"/>
      <c r="O30" s="153"/>
      <c r="P30" s="60" t="s">
        <v>108</v>
      </c>
      <c r="Q30" s="6" t="s">
        <v>44</v>
      </c>
      <c r="R30" s="6">
        <v>110</v>
      </c>
    </row>
    <row r="31" spans="2:18" ht="15">
      <c r="B31" s="5"/>
      <c r="C31" s="202"/>
      <c r="D31" s="5"/>
      <c r="E31" s="5" t="s">
        <v>2</v>
      </c>
      <c r="F31" s="5">
        <v>1</v>
      </c>
      <c r="G31" s="5">
        <v>1</v>
      </c>
      <c r="H31" s="46">
        <f>R50</f>
        <v>85</v>
      </c>
      <c r="I31" s="16">
        <f t="shared" si="2"/>
        <v>0.09</v>
      </c>
      <c r="J31" s="16"/>
      <c r="K31" s="16"/>
      <c r="L31" s="16"/>
      <c r="M31" s="16"/>
      <c r="N31" s="44"/>
      <c r="O31" s="153"/>
      <c r="P31" s="60" t="s">
        <v>109</v>
      </c>
      <c r="Q31" s="6" t="s">
        <v>44</v>
      </c>
      <c r="R31" s="6">
        <v>172</v>
      </c>
    </row>
    <row r="32" spans="2:18" ht="15" customHeight="1">
      <c r="B32" s="5"/>
      <c r="C32" s="3"/>
      <c r="D32" s="5"/>
      <c r="E32" s="8" t="s">
        <v>9</v>
      </c>
      <c r="F32" s="5">
        <v>10</v>
      </c>
      <c r="G32" s="5">
        <v>10</v>
      </c>
      <c r="H32" s="24">
        <f>R14</f>
        <v>199</v>
      </c>
      <c r="I32" s="16">
        <f t="shared" si="2"/>
        <v>1.99</v>
      </c>
      <c r="J32" s="16">
        <v>2</v>
      </c>
      <c r="K32" s="16">
        <v>5.18</v>
      </c>
      <c r="L32" s="16">
        <v>14.83</v>
      </c>
      <c r="M32" s="16">
        <v>113.94</v>
      </c>
      <c r="N32" s="174">
        <v>55</v>
      </c>
      <c r="O32" s="153">
        <f>(J32+L32)*4+K32*9</f>
        <v>113.94</v>
      </c>
      <c r="P32" s="60" t="s">
        <v>110</v>
      </c>
      <c r="Q32" s="6" t="s">
        <v>44</v>
      </c>
      <c r="R32" s="6">
        <v>140</v>
      </c>
    </row>
    <row r="33" spans="2:18" ht="15" customHeight="1">
      <c r="B33" s="5"/>
      <c r="C33" s="202"/>
      <c r="D33" s="5"/>
      <c r="E33" s="8"/>
      <c r="F33" s="5"/>
      <c r="G33" s="5"/>
      <c r="H33" s="24"/>
      <c r="I33" s="16"/>
      <c r="J33" s="16"/>
      <c r="K33" s="16"/>
      <c r="L33" s="16"/>
      <c r="M33" s="16"/>
      <c r="N33" s="174"/>
      <c r="O33" s="153"/>
      <c r="P33" s="60" t="s">
        <v>43</v>
      </c>
      <c r="Q33" s="6" t="s">
        <v>44</v>
      </c>
      <c r="R33" s="6">
        <v>293</v>
      </c>
    </row>
    <row r="34" spans="2:18" ht="15" customHeight="1">
      <c r="B34" s="5">
        <v>2</v>
      </c>
      <c r="C34" s="202" t="s">
        <v>216</v>
      </c>
      <c r="D34" s="5">
        <v>90</v>
      </c>
      <c r="E34" s="5" t="s">
        <v>76</v>
      </c>
      <c r="F34" s="5">
        <v>138</v>
      </c>
      <c r="G34" s="5">
        <v>103</v>
      </c>
      <c r="H34" s="5">
        <f>R7</f>
        <v>292</v>
      </c>
      <c r="I34" s="16">
        <f>H34*F34/1000</f>
        <v>40.3</v>
      </c>
      <c r="J34" s="16"/>
      <c r="K34" s="16"/>
      <c r="L34" s="16"/>
      <c r="M34" s="16"/>
      <c r="N34" s="44"/>
      <c r="O34" s="153"/>
      <c r="P34" s="60" t="s">
        <v>111</v>
      </c>
      <c r="Q34" s="6" t="s">
        <v>44</v>
      </c>
      <c r="R34" s="6">
        <v>147</v>
      </c>
    </row>
    <row r="35" spans="2:18" ht="15">
      <c r="B35" s="5"/>
      <c r="C35" s="3"/>
      <c r="D35" s="5"/>
      <c r="E35" s="5" t="s">
        <v>9</v>
      </c>
      <c r="F35" s="5">
        <v>8</v>
      </c>
      <c r="G35" s="5">
        <v>8</v>
      </c>
      <c r="H35" s="19">
        <f>R14</f>
        <v>199</v>
      </c>
      <c r="I35" s="16">
        <f>H35*F35/1000</f>
        <v>1.59</v>
      </c>
      <c r="J35" s="16">
        <v>31.45</v>
      </c>
      <c r="K35" s="16">
        <v>36.77</v>
      </c>
      <c r="L35" s="16">
        <v>6.53</v>
      </c>
      <c r="M35" s="16">
        <v>482.85</v>
      </c>
      <c r="N35" s="44">
        <v>703</v>
      </c>
      <c r="O35" s="153">
        <f>(J35+L35)*4+K35*9</f>
        <v>482.85</v>
      </c>
      <c r="P35" s="60" t="s">
        <v>112</v>
      </c>
      <c r="Q35" s="6" t="s">
        <v>45</v>
      </c>
      <c r="R35" s="6">
        <v>62</v>
      </c>
    </row>
    <row r="36" spans="2:18" ht="15">
      <c r="B36" s="5">
        <v>3</v>
      </c>
      <c r="C36" s="202" t="s">
        <v>221</v>
      </c>
      <c r="D36" s="5">
        <v>150</v>
      </c>
      <c r="E36" s="5" t="s">
        <v>22</v>
      </c>
      <c r="F36" s="5">
        <v>45</v>
      </c>
      <c r="G36" s="5">
        <v>45</v>
      </c>
      <c r="H36" s="19">
        <f>R51</f>
        <v>46</v>
      </c>
      <c r="I36" s="16">
        <f>H36*F36/1000</f>
        <v>2.07</v>
      </c>
      <c r="J36" s="76"/>
      <c r="K36" s="76"/>
      <c r="L36" s="76"/>
      <c r="M36" s="76"/>
      <c r="N36" s="44"/>
      <c r="O36" s="153"/>
      <c r="P36" s="60" t="s">
        <v>86</v>
      </c>
      <c r="Q36" s="6" t="s">
        <v>44</v>
      </c>
      <c r="R36" s="6">
        <v>145</v>
      </c>
    </row>
    <row r="37" spans="2:18" ht="15">
      <c r="B37" s="5"/>
      <c r="C37" s="3"/>
      <c r="D37" s="5"/>
      <c r="E37" s="5" t="s">
        <v>23</v>
      </c>
      <c r="F37" s="19">
        <v>15</v>
      </c>
      <c r="G37" s="19">
        <v>15</v>
      </c>
      <c r="H37" s="19">
        <f>R16</f>
        <v>543</v>
      </c>
      <c r="I37" s="16">
        <f>H37*F37/1000</f>
        <v>8.15</v>
      </c>
      <c r="J37" s="16"/>
      <c r="K37" s="16"/>
      <c r="L37" s="16"/>
      <c r="M37" s="16"/>
      <c r="N37" s="44"/>
      <c r="O37" s="153"/>
      <c r="P37" s="60" t="s">
        <v>181</v>
      </c>
      <c r="Q37" s="6" t="s">
        <v>44</v>
      </c>
      <c r="R37" s="6">
        <v>210</v>
      </c>
    </row>
    <row r="38" spans="2:18" ht="15">
      <c r="B38" s="5"/>
      <c r="C38" s="3"/>
      <c r="D38" s="5"/>
      <c r="E38" s="5" t="s">
        <v>28</v>
      </c>
      <c r="F38" s="19">
        <v>7</v>
      </c>
      <c r="G38" s="19">
        <v>7</v>
      </c>
      <c r="H38" s="19">
        <f>R13</f>
        <v>467</v>
      </c>
      <c r="I38" s="16">
        <f>H38*F38/1000</f>
        <v>3.27</v>
      </c>
      <c r="J38" s="16">
        <v>9.29</v>
      </c>
      <c r="K38" s="16">
        <v>10.01</v>
      </c>
      <c r="L38" s="16">
        <v>22.71</v>
      </c>
      <c r="M38" s="16">
        <v>218.09</v>
      </c>
      <c r="N38" s="44">
        <v>450</v>
      </c>
      <c r="O38" s="153">
        <f>(J38+L38)*4+K38*9</f>
        <v>218.09</v>
      </c>
      <c r="P38" s="114"/>
      <c r="Q38" s="6"/>
      <c r="R38" s="61"/>
    </row>
    <row r="39" spans="2:18" ht="15">
      <c r="B39" s="5">
        <v>4</v>
      </c>
      <c r="C39" s="14" t="s">
        <v>35</v>
      </c>
      <c r="D39" s="5">
        <v>50</v>
      </c>
      <c r="E39" s="8" t="s">
        <v>19</v>
      </c>
      <c r="F39" s="5">
        <v>50</v>
      </c>
      <c r="G39" s="5">
        <v>50</v>
      </c>
      <c r="H39" s="5">
        <f>R60</f>
        <v>48</v>
      </c>
      <c r="I39" s="16">
        <f aca="true" t="shared" si="3" ref="I39:I44">F39*H39/1000</f>
        <v>2.4</v>
      </c>
      <c r="J39" s="189">
        <v>3.06</v>
      </c>
      <c r="K39" s="189">
        <v>9.54</v>
      </c>
      <c r="L39" s="189">
        <v>18.28</v>
      </c>
      <c r="M39" s="189">
        <f>(J39+L39)*4+K39*9</f>
        <v>171.22</v>
      </c>
      <c r="N39" s="190"/>
      <c r="O39" s="153">
        <f>(J39+L39)*4+K39*9</f>
        <v>171.22</v>
      </c>
      <c r="P39" s="114" t="s">
        <v>113</v>
      </c>
      <c r="Q39" s="6" t="s">
        <v>44</v>
      </c>
      <c r="R39" s="61">
        <v>40</v>
      </c>
    </row>
    <row r="40" spans="2:18" ht="15">
      <c r="B40" s="5">
        <v>5</v>
      </c>
      <c r="C40" s="14" t="s">
        <v>25</v>
      </c>
      <c r="D40" s="5">
        <v>200</v>
      </c>
      <c r="E40" s="5" t="s">
        <v>20</v>
      </c>
      <c r="F40" s="5">
        <v>14</v>
      </c>
      <c r="G40" s="5">
        <v>14</v>
      </c>
      <c r="H40" s="5">
        <f>R32</f>
        <v>140</v>
      </c>
      <c r="I40" s="16">
        <f t="shared" si="3"/>
        <v>1.96</v>
      </c>
      <c r="J40" s="16"/>
      <c r="K40" s="16"/>
      <c r="L40" s="16"/>
      <c r="M40" s="16"/>
      <c r="N40" s="44"/>
      <c r="O40" s="153"/>
      <c r="P40" s="114" t="s">
        <v>182</v>
      </c>
      <c r="Q40" s="6" t="s">
        <v>44</v>
      </c>
      <c r="R40" s="61">
        <v>85</v>
      </c>
    </row>
    <row r="41" spans="2:18" ht="15">
      <c r="B41" s="5"/>
      <c r="C41" s="14"/>
      <c r="D41" s="5"/>
      <c r="E41" s="5" t="s">
        <v>2</v>
      </c>
      <c r="F41" s="5">
        <v>11</v>
      </c>
      <c r="G41" s="5">
        <v>11</v>
      </c>
      <c r="H41" s="5">
        <f>R50</f>
        <v>85</v>
      </c>
      <c r="I41" s="16">
        <f t="shared" si="3"/>
        <v>0.94</v>
      </c>
      <c r="J41" s="192">
        <v>0.04</v>
      </c>
      <c r="K41" s="192">
        <v>0</v>
      </c>
      <c r="L41" s="192">
        <v>24.76</v>
      </c>
      <c r="M41" s="189">
        <f>(J41+L41)*4+K41*9</f>
        <v>99.2</v>
      </c>
      <c r="N41" s="190">
        <v>349</v>
      </c>
      <c r="O41" s="153">
        <f>(J41+L41)*4+K41*9</f>
        <v>99.2</v>
      </c>
      <c r="P41" s="114"/>
      <c r="Q41" s="6"/>
      <c r="R41" s="61"/>
    </row>
    <row r="42" spans="2:18" ht="15">
      <c r="B42" s="5">
        <v>6</v>
      </c>
      <c r="C42" s="185" t="s">
        <v>131</v>
      </c>
      <c r="D42" s="5">
        <v>60</v>
      </c>
      <c r="E42" s="5" t="s">
        <v>132</v>
      </c>
      <c r="F42" s="34">
        <v>60</v>
      </c>
      <c r="G42" s="34"/>
      <c r="H42" s="34">
        <f>R30</f>
        <v>110</v>
      </c>
      <c r="I42" s="16">
        <f t="shared" si="3"/>
        <v>6.6</v>
      </c>
      <c r="J42" s="16">
        <v>0.24</v>
      </c>
      <c r="K42" s="16">
        <v>0.24</v>
      </c>
      <c r="L42" s="16">
        <v>5.88</v>
      </c>
      <c r="M42" s="16">
        <v>26.64</v>
      </c>
      <c r="N42" s="190">
        <v>368</v>
      </c>
      <c r="O42" s="153">
        <f>(J42+L42)*4+K42*9</f>
        <v>26.64</v>
      </c>
      <c r="P42" s="114" t="s">
        <v>183</v>
      </c>
      <c r="Q42" s="6" t="s">
        <v>44</v>
      </c>
      <c r="R42" s="61">
        <v>58</v>
      </c>
    </row>
    <row r="43" spans="2:18" ht="15">
      <c r="B43" s="5"/>
      <c r="C43" s="14"/>
      <c r="D43" s="5"/>
      <c r="E43" s="5" t="s">
        <v>159</v>
      </c>
      <c r="F43" s="5">
        <v>2</v>
      </c>
      <c r="G43" s="5">
        <v>2</v>
      </c>
      <c r="H43" s="5">
        <f>R54</f>
        <v>27</v>
      </c>
      <c r="I43" s="16">
        <f t="shared" si="3"/>
        <v>0.05</v>
      </c>
      <c r="J43" s="16"/>
      <c r="K43" s="16"/>
      <c r="L43" s="16"/>
      <c r="M43" s="16"/>
      <c r="N43" s="44"/>
      <c r="O43" s="153"/>
      <c r="P43" s="114" t="s">
        <v>184</v>
      </c>
      <c r="Q43" s="6" t="s">
        <v>44</v>
      </c>
      <c r="R43" s="61">
        <v>116</v>
      </c>
    </row>
    <row r="44" spans="2:18" ht="15">
      <c r="B44" s="33"/>
      <c r="C44" s="147"/>
      <c r="D44" s="33"/>
      <c r="E44" s="33" t="s">
        <v>93</v>
      </c>
      <c r="F44" s="33">
        <v>0.02</v>
      </c>
      <c r="G44" s="33">
        <v>0.02</v>
      </c>
      <c r="H44" s="33">
        <f>R59</f>
        <v>617</v>
      </c>
      <c r="I44" s="38">
        <f t="shared" si="3"/>
        <v>0.01</v>
      </c>
      <c r="J44" s="38"/>
      <c r="K44" s="38"/>
      <c r="L44" s="38"/>
      <c r="M44" s="38"/>
      <c r="N44" s="156"/>
      <c r="O44" s="153"/>
      <c r="P44" s="114" t="s">
        <v>185</v>
      </c>
      <c r="Q44" s="6" t="s">
        <v>44</v>
      </c>
      <c r="R44" s="61">
        <v>58</v>
      </c>
    </row>
    <row r="45" spans="2:18" ht="15">
      <c r="B45" s="5"/>
      <c r="C45" s="14"/>
      <c r="D45" s="195">
        <v>810</v>
      </c>
      <c r="E45" s="5"/>
      <c r="F45" s="5"/>
      <c r="G45" s="5"/>
      <c r="H45" s="5"/>
      <c r="I45" s="68">
        <f>SUM(I25:I44)</f>
        <v>79.8</v>
      </c>
      <c r="J45" s="68">
        <f>SUM(J25:J44)</f>
        <v>46.08</v>
      </c>
      <c r="K45" s="68">
        <f>SUM(K25:K44)</f>
        <v>61.74</v>
      </c>
      <c r="L45" s="68">
        <f>SUM(L25:L44)</f>
        <v>92.99</v>
      </c>
      <c r="M45" s="68">
        <f>SUM(M25:M44)</f>
        <v>1111.94</v>
      </c>
      <c r="N45" s="148"/>
      <c r="O45" s="153">
        <f>(J45+L45)*4+K45*9</f>
        <v>1111.94</v>
      </c>
      <c r="P45" s="114" t="s">
        <v>186</v>
      </c>
      <c r="Q45" s="6" t="s">
        <v>44</v>
      </c>
      <c r="R45" s="6">
        <v>57</v>
      </c>
    </row>
    <row r="46" spans="2:18" ht="15">
      <c r="B46" s="162"/>
      <c r="C46" s="162"/>
      <c r="D46" s="162"/>
      <c r="E46" s="162"/>
      <c r="F46" s="162"/>
      <c r="G46" s="162"/>
      <c r="H46" s="162"/>
      <c r="I46" s="162"/>
      <c r="J46" s="91"/>
      <c r="K46" s="91"/>
      <c r="L46" s="91"/>
      <c r="M46" s="91"/>
      <c r="N46" s="145"/>
      <c r="O46" s="153"/>
      <c r="P46" s="114" t="s">
        <v>187</v>
      </c>
      <c r="Q46" s="6" t="s">
        <v>44</v>
      </c>
      <c r="R46" s="6">
        <v>54</v>
      </c>
    </row>
    <row r="47" spans="2:18" ht="15">
      <c r="B47" s="140"/>
      <c r="C47" s="140"/>
      <c r="D47" s="140"/>
      <c r="E47" s="140"/>
      <c r="F47" s="140"/>
      <c r="G47" s="140"/>
      <c r="H47" s="140"/>
      <c r="I47" s="91"/>
      <c r="J47" s="91"/>
      <c r="K47" s="91"/>
      <c r="L47" s="91"/>
      <c r="M47" s="91"/>
      <c r="N47" s="145"/>
      <c r="O47" s="153"/>
      <c r="P47" s="114" t="s">
        <v>188</v>
      </c>
      <c r="Q47" s="6" t="s">
        <v>44</v>
      </c>
      <c r="R47" s="6">
        <v>48</v>
      </c>
    </row>
    <row r="48" spans="2:18" s="70" customFormat="1" ht="15">
      <c r="B48" s="36"/>
      <c r="C48" s="74"/>
      <c r="D48" s="36"/>
      <c r="E48" s="138"/>
      <c r="F48" s="36"/>
      <c r="G48" s="36"/>
      <c r="H48" s="36"/>
      <c r="I48" s="91"/>
      <c r="J48" s="91"/>
      <c r="K48" s="91"/>
      <c r="L48" s="91"/>
      <c r="M48" s="91"/>
      <c r="N48" s="145"/>
      <c r="O48" s="153"/>
      <c r="P48" s="114" t="s">
        <v>189</v>
      </c>
      <c r="Q48" s="6" t="s">
        <v>44</v>
      </c>
      <c r="R48" s="6">
        <v>48</v>
      </c>
    </row>
    <row r="49" spans="2:18" s="70" customFormat="1" ht="15">
      <c r="B49" s="36"/>
      <c r="C49" s="139"/>
      <c r="D49" s="36"/>
      <c r="E49" s="138"/>
      <c r="F49" s="36"/>
      <c r="G49" s="36"/>
      <c r="H49" s="36"/>
      <c r="I49" s="35"/>
      <c r="J49" s="91"/>
      <c r="K49" s="91"/>
      <c r="L49" s="91"/>
      <c r="M49" s="91"/>
      <c r="N49" s="145"/>
      <c r="O49" s="153"/>
      <c r="P49" s="114" t="s">
        <v>190</v>
      </c>
      <c r="Q49" s="6" t="s">
        <v>44</v>
      </c>
      <c r="R49" s="6">
        <v>76</v>
      </c>
    </row>
    <row r="50" spans="2:18" s="70" customFormat="1" ht="15">
      <c r="B50" s="36"/>
      <c r="C50" s="139"/>
      <c r="D50" s="36"/>
      <c r="E50" s="138"/>
      <c r="F50" s="36"/>
      <c r="G50" s="36"/>
      <c r="H50" s="36"/>
      <c r="I50" s="35"/>
      <c r="J50" s="91"/>
      <c r="K50" s="91"/>
      <c r="L50" s="91"/>
      <c r="M50" s="91"/>
      <c r="N50" s="145"/>
      <c r="O50" s="153"/>
      <c r="P50" s="60" t="s">
        <v>174</v>
      </c>
      <c r="Q50" s="6" t="s">
        <v>44</v>
      </c>
      <c r="R50" s="6">
        <v>85</v>
      </c>
    </row>
    <row r="51" spans="2:18" s="70" customFormat="1" ht="15">
      <c r="B51" s="21"/>
      <c r="C51" s="74" t="s">
        <v>36</v>
      </c>
      <c r="D51" s="27"/>
      <c r="E51" s="27"/>
      <c r="F51" s="1"/>
      <c r="G51" s="1"/>
      <c r="H51" s="1"/>
      <c r="I51" s="1"/>
      <c r="J51" s="1"/>
      <c r="K51" s="1"/>
      <c r="L51" s="1"/>
      <c r="M51" s="1"/>
      <c r="N51" s="154"/>
      <c r="O51" s="153"/>
      <c r="P51" s="60" t="s">
        <v>49</v>
      </c>
      <c r="Q51" s="6" t="s">
        <v>44</v>
      </c>
      <c r="R51" s="6">
        <v>46</v>
      </c>
    </row>
    <row r="52" spans="2:18" s="70" customFormat="1" ht="28.5" customHeight="1">
      <c r="B52" s="253" t="s">
        <v>3</v>
      </c>
      <c r="C52" s="8"/>
      <c r="D52" s="8" t="s">
        <v>4</v>
      </c>
      <c r="E52" s="253" t="s">
        <v>29</v>
      </c>
      <c r="F52" s="96" t="s">
        <v>12</v>
      </c>
      <c r="G52" s="96" t="s">
        <v>57</v>
      </c>
      <c r="H52" s="96" t="s">
        <v>30</v>
      </c>
      <c r="I52" s="96" t="s">
        <v>31</v>
      </c>
      <c r="J52" s="252" t="s">
        <v>70</v>
      </c>
      <c r="K52" s="252" t="s">
        <v>71</v>
      </c>
      <c r="L52" s="252" t="s">
        <v>72</v>
      </c>
      <c r="M52" s="252" t="s">
        <v>73</v>
      </c>
      <c r="N52" s="250" t="s">
        <v>144</v>
      </c>
      <c r="O52" s="153"/>
      <c r="P52" s="60" t="s">
        <v>50</v>
      </c>
      <c r="Q52" s="6" t="s">
        <v>44</v>
      </c>
      <c r="R52" s="6">
        <v>47</v>
      </c>
    </row>
    <row r="53" spans="2:18" s="70" customFormat="1" ht="15.75" customHeight="1">
      <c r="B53" s="254"/>
      <c r="C53" s="228" t="s">
        <v>138</v>
      </c>
      <c r="D53" s="229" t="s">
        <v>32</v>
      </c>
      <c r="E53" s="255"/>
      <c r="F53" s="230" t="s">
        <v>32</v>
      </c>
      <c r="G53" s="230" t="s">
        <v>32</v>
      </c>
      <c r="H53" s="34" t="s">
        <v>33</v>
      </c>
      <c r="I53" s="34" t="s">
        <v>34</v>
      </c>
      <c r="J53" s="251"/>
      <c r="K53" s="251"/>
      <c r="L53" s="251"/>
      <c r="M53" s="251"/>
      <c r="N53" s="251"/>
      <c r="O53" s="184"/>
      <c r="P53" s="114" t="s">
        <v>114</v>
      </c>
      <c r="Q53" s="61" t="s">
        <v>44</v>
      </c>
      <c r="R53" s="61">
        <v>377</v>
      </c>
    </row>
    <row r="54" spans="2:18" ht="15">
      <c r="B54" s="5">
        <v>1</v>
      </c>
      <c r="C54" s="2" t="s">
        <v>120</v>
      </c>
      <c r="D54" s="5">
        <v>95</v>
      </c>
      <c r="E54" s="8" t="s">
        <v>16</v>
      </c>
      <c r="F54" s="34">
        <v>73</v>
      </c>
      <c r="G54" s="5">
        <v>72</v>
      </c>
      <c r="H54" s="169">
        <f>R6</f>
        <v>622</v>
      </c>
      <c r="I54" s="10">
        <f aca="true" t="shared" si="4" ref="I54:I59">F54*H54/1000</f>
        <v>45.41</v>
      </c>
      <c r="J54" s="10"/>
      <c r="K54" s="10"/>
      <c r="L54" s="10"/>
      <c r="M54" s="10"/>
      <c r="N54" s="158"/>
      <c r="O54" s="153"/>
      <c r="P54" s="60" t="s">
        <v>82</v>
      </c>
      <c r="Q54" s="6" t="s">
        <v>44</v>
      </c>
      <c r="R54" s="6">
        <v>27</v>
      </c>
    </row>
    <row r="55" spans="2:18" ht="15">
      <c r="B55" s="5"/>
      <c r="C55" s="2"/>
      <c r="D55" s="5"/>
      <c r="E55" s="8" t="s">
        <v>8</v>
      </c>
      <c r="F55" s="5">
        <v>15</v>
      </c>
      <c r="G55" s="5">
        <v>13</v>
      </c>
      <c r="H55" s="169">
        <f>R24</f>
        <v>60</v>
      </c>
      <c r="I55" s="10">
        <f t="shared" si="4"/>
        <v>0.9</v>
      </c>
      <c r="J55" s="10"/>
      <c r="K55" s="10"/>
      <c r="L55" s="10"/>
      <c r="M55" s="10"/>
      <c r="N55" s="158"/>
      <c r="O55" s="153"/>
      <c r="P55" s="60"/>
      <c r="Q55" s="6"/>
      <c r="R55" s="6"/>
    </row>
    <row r="56" spans="2:18" ht="15">
      <c r="B56" s="5"/>
      <c r="C56" s="14"/>
      <c r="D56" s="5"/>
      <c r="E56" s="5" t="s">
        <v>6</v>
      </c>
      <c r="F56" s="5">
        <v>10</v>
      </c>
      <c r="G56" s="5">
        <v>9</v>
      </c>
      <c r="H56" s="169">
        <f>R23</f>
        <v>49</v>
      </c>
      <c r="I56" s="10">
        <f t="shared" si="4"/>
        <v>0.49</v>
      </c>
      <c r="J56" s="10"/>
      <c r="K56" s="10"/>
      <c r="L56" s="10"/>
      <c r="M56" s="10"/>
      <c r="N56" s="158"/>
      <c r="O56" s="153"/>
      <c r="P56" s="60" t="s">
        <v>115</v>
      </c>
      <c r="Q56" s="6" t="s">
        <v>44</v>
      </c>
      <c r="R56" s="6">
        <v>467</v>
      </c>
    </row>
    <row r="57" spans="2:18" ht="15">
      <c r="B57" s="5"/>
      <c r="C57" s="14"/>
      <c r="D57" s="5"/>
      <c r="E57" s="5" t="s">
        <v>18</v>
      </c>
      <c r="F57" s="5">
        <v>2</v>
      </c>
      <c r="G57" s="5">
        <v>2</v>
      </c>
      <c r="H57" s="169">
        <f>R29</f>
        <v>142</v>
      </c>
      <c r="I57" s="10">
        <f t="shared" si="4"/>
        <v>0.28</v>
      </c>
      <c r="J57" s="10"/>
      <c r="K57" s="10"/>
      <c r="L57" s="10"/>
      <c r="M57" s="10"/>
      <c r="N57" s="158"/>
      <c r="O57" s="153"/>
      <c r="P57" s="60" t="s">
        <v>89</v>
      </c>
      <c r="Q57" s="6" t="s">
        <v>44</v>
      </c>
      <c r="R57" s="6">
        <v>403</v>
      </c>
    </row>
    <row r="58" spans="2:18" ht="15">
      <c r="B58" s="5"/>
      <c r="C58" s="14"/>
      <c r="D58" s="5"/>
      <c r="E58" s="5" t="s">
        <v>28</v>
      </c>
      <c r="F58" s="5">
        <v>2</v>
      </c>
      <c r="G58" s="5">
        <v>2</v>
      </c>
      <c r="H58" s="8">
        <f>R13</f>
        <v>467</v>
      </c>
      <c r="I58" s="10">
        <f t="shared" si="4"/>
        <v>0.93</v>
      </c>
      <c r="J58" s="146"/>
      <c r="K58" s="146"/>
      <c r="L58" s="146"/>
      <c r="M58" s="146"/>
      <c r="N58" s="44"/>
      <c r="O58" s="153"/>
      <c r="P58" s="60" t="s">
        <v>116</v>
      </c>
      <c r="Q58" s="6" t="s">
        <v>44</v>
      </c>
      <c r="R58" s="6">
        <v>507</v>
      </c>
    </row>
    <row r="59" spans="2:18" s="115" customFormat="1" ht="15">
      <c r="B59" s="5"/>
      <c r="C59" s="14"/>
      <c r="D59" s="5"/>
      <c r="E59" s="5" t="s">
        <v>74</v>
      </c>
      <c r="F59" s="5">
        <v>3</v>
      </c>
      <c r="G59" s="5">
        <v>3</v>
      </c>
      <c r="H59" s="34">
        <f>R39</f>
        <v>40</v>
      </c>
      <c r="I59" s="16">
        <f t="shared" si="4"/>
        <v>0.12</v>
      </c>
      <c r="J59" s="191">
        <v>12.2</v>
      </c>
      <c r="K59" s="191">
        <v>21.48</v>
      </c>
      <c r="L59" s="191">
        <v>3.25</v>
      </c>
      <c r="M59" s="189">
        <v>255.12</v>
      </c>
      <c r="N59" s="190">
        <v>277</v>
      </c>
      <c r="O59" s="153">
        <f>(J59+L59)*4+K59*9</f>
        <v>255.12</v>
      </c>
      <c r="P59" s="116" t="s">
        <v>92</v>
      </c>
      <c r="Q59" s="6" t="s">
        <v>44</v>
      </c>
      <c r="R59" s="6">
        <v>617</v>
      </c>
    </row>
    <row r="60" spans="2:18" ht="15">
      <c r="B60" s="5">
        <v>2</v>
      </c>
      <c r="C60" s="32" t="s">
        <v>141</v>
      </c>
      <c r="D60" s="28">
        <v>150</v>
      </c>
      <c r="E60" s="28" t="s">
        <v>142</v>
      </c>
      <c r="F60" s="28">
        <v>54</v>
      </c>
      <c r="G60" s="28">
        <v>54</v>
      </c>
      <c r="H60" s="5">
        <f>R45</f>
        <v>57</v>
      </c>
      <c r="I60" s="16">
        <f aca="true" t="shared" si="5" ref="I60:I67">H60*F60/1000</f>
        <v>3.08</v>
      </c>
      <c r="J60" s="16"/>
      <c r="K60" s="16"/>
      <c r="L60" s="16"/>
      <c r="M60" s="16"/>
      <c r="N60" s="44"/>
      <c r="O60" s="153"/>
      <c r="P60" s="114" t="s">
        <v>35</v>
      </c>
      <c r="Q60" s="6" t="s">
        <v>44</v>
      </c>
      <c r="R60" s="6">
        <v>48</v>
      </c>
    </row>
    <row r="61" spans="2:18" ht="15">
      <c r="B61" s="5"/>
      <c r="C61" s="32"/>
      <c r="D61" s="28"/>
      <c r="E61" s="28" t="s">
        <v>28</v>
      </c>
      <c r="F61" s="28">
        <v>6</v>
      </c>
      <c r="G61" s="28">
        <v>6</v>
      </c>
      <c r="H61" s="5">
        <f>R13</f>
        <v>467</v>
      </c>
      <c r="I61" s="16">
        <f t="shared" si="5"/>
        <v>2.8</v>
      </c>
      <c r="J61" s="16">
        <v>6.6</v>
      </c>
      <c r="K61" s="16">
        <v>5.73</v>
      </c>
      <c r="L61" s="16">
        <v>37.89</v>
      </c>
      <c r="M61" s="16">
        <v>229.53</v>
      </c>
      <c r="N61" s="44">
        <v>302</v>
      </c>
      <c r="O61" s="153">
        <f>(J61+L61)*4+K61*9</f>
        <v>229.53</v>
      </c>
      <c r="P61" s="114" t="s">
        <v>81</v>
      </c>
      <c r="Q61" s="6" t="s">
        <v>44</v>
      </c>
      <c r="R61" s="6">
        <v>52</v>
      </c>
    </row>
    <row r="62" spans="2:18" ht="15">
      <c r="B62" s="5">
        <v>3</v>
      </c>
      <c r="C62" s="14" t="s">
        <v>35</v>
      </c>
      <c r="D62" s="5">
        <v>50</v>
      </c>
      <c r="E62" s="5" t="s">
        <v>19</v>
      </c>
      <c r="F62" s="5">
        <v>50</v>
      </c>
      <c r="G62" s="5">
        <v>50</v>
      </c>
      <c r="H62" s="5">
        <f>R60</f>
        <v>48</v>
      </c>
      <c r="I62" s="16">
        <f t="shared" si="5"/>
        <v>2.4</v>
      </c>
      <c r="J62" s="189">
        <v>3.06</v>
      </c>
      <c r="K62" s="189">
        <v>9.54</v>
      </c>
      <c r="L62" s="189">
        <v>18.28</v>
      </c>
      <c r="M62" s="189">
        <f>(J62+L62)*4+K62*9</f>
        <v>171.22</v>
      </c>
      <c r="N62" s="190"/>
      <c r="O62" s="153">
        <f>(J62+L62)*4+K62*9</f>
        <v>171.22</v>
      </c>
      <c r="P62" s="114" t="s">
        <v>209</v>
      </c>
      <c r="Q62" s="6" t="s">
        <v>44</v>
      </c>
      <c r="R62" s="6">
        <v>185</v>
      </c>
    </row>
    <row r="63" spans="2:18" ht="15">
      <c r="B63" s="5">
        <v>4</v>
      </c>
      <c r="C63" s="14" t="s">
        <v>66</v>
      </c>
      <c r="D63" s="5">
        <v>10</v>
      </c>
      <c r="E63" s="8" t="s">
        <v>28</v>
      </c>
      <c r="F63" s="34">
        <v>10</v>
      </c>
      <c r="G63" s="34">
        <v>10</v>
      </c>
      <c r="H63" s="5">
        <f>R13</f>
        <v>467</v>
      </c>
      <c r="I63" s="16">
        <f t="shared" si="5"/>
        <v>4.67</v>
      </c>
      <c r="J63" s="76">
        <v>0.04</v>
      </c>
      <c r="K63" s="76">
        <v>7.85</v>
      </c>
      <c r="L63" s="76">
        <v>0.05</v>
      </c>
      <c r="M63" s="76">
        <v>71.01</v>
      </c>
      <c r="N63" s="44">
        <v>14</v>
      </c>
      <c r="O63" s="153">
        <f>(J63+L63)*4+K63*9</f>
        <v>71.01</v>
      </c>
      <c r="P63" s="60" t="s">
        <v>219</v>
      </c>
      <c r="Q63" s="6" t="s">
        <v>44</v>
      </c>
      <c r="R63" s="6">
        <v>220</v>
      </c>
    </row>
    <row r="64" spans="2:18" ht="15">
      <c r="B64" s="5">
        <v>5</v>
      </c>
      <c r="C64" s="14" t="s">
        <v>13</v>
      </c>
      <c r="D64" s="5">
        <v>200</v>
      </c>
      <c r="E64" s="8" t="s">
        <v>143</v>
      </c>
      <c r="F64" s="34">
        <v>1</v>
      </c>
      <c r="G64" s="34">
        <v>1</v>
      </c>
      <c r="H64" s="5">
        <f>R58</f>
        <v>507</v>
      </c>
      <c r="I64" s="16">
        <f t="shared" si="5"/>
        <v>0.51</v>
      </c>
      <c r="J64" s="16"/>
      <c r="K64" s="16"/>
      <c r="L64" s="16"/>
      <c r="M64" s="16"/>
      <c r="N64" s="44"/>
      <c r="O64" s="153"/>
      <c r="P64" s="114" t="s">
        <v>191</v>
      </c>
      <c r="Q64" s="61" t="s">
        <v>44</v>
      </c>
      <c r="R64" s="6">
        <v>153</v>
      </c>
    </row>
    <row r="65" spans="2:18" ht="15">
      <c r="B65" s="134"/>
      <c r="C65" s="39"/>
      <c r="D65" s="8"/>
      <c r="E65" s="5" t="s">
        <v>2</v>
      </c>
      <c r="F65" s="5">
        <v>11</v>
      </c>
      <c r="G65" s="5">
        <v>11</v>
      </c>
      <c r="H65" s="5">
        <f>R50</f>
        <v>85</v>
      </c>
      <c r="I65" s="16">
        <f t="shared" si="5"/>
        <v>0.94</v>
      </c>
      <c r="J65" s="76">
        <v>0.2</v>
      </c>
      <c r="K65" s="76">
        <v>0</v>
      </c>
      <c r="L65" s="76">
        <v>14</v>
      </c>
      <c r="M65" s="76">
        <v>56.8</v>
      </c>
      <c r="N65" s="44">
        <v>376</v>
      </c>
      <c r="O65" s="153">
        <f>(J65+L65)*4+K65*9</f>
        <v>56.8</v>
      </c>
      <c r="P65" s="114" t="s">
        <v>228</v>
      </c>
      <c r="Q65" s="61" t="s">
        <v>44</v>
      </c>
      <c r="R65" s="6">
        <v>283</v>
      </c>
    </row>
    <row r="66" spans="2:18" ht="15">
      <c r="B66" s="134">
        <v>6</v>
      </c>
      <c r="C66" s="185" t="s">
        <v>198</v>
      </c>
      <c r="D66" s="5">
        <v>100</v>
      </c>
      <c r="E66" s="5" t="s">
        <v>199</v>
      </c>
      <c r="F66" s="34">
        <v>100</v>
      </c>
      <c r="G66" s="34"/>
      <c r="H66" s="5">
        <f>R31</f>
        <v>172</v>
      </c>
      <c r="I66" s="16">
        <f t="shared" si="5"/>
        <v>17.2</v>
      </c>
      <c r="J66" s="76">
        <v>1.5</v>
      </c>
      <c r="K66" s="76">
        <v>0.5</v>
      </c>
      <c r="L66" s="76">
        <v>8</v>
      </c>
      <c r="M66" s="76">
        <v>42.5</v>
      </c>
      <c r="N66" s="190"/>
      <c r="O66" s="153">
        <f>(J66+L66)*4+K66*9</f>
        <v>42.5</v>
      </c>
      <c r="P66" s="211"/>
      <c r="Q66" s="61"/>
      <c r="R66" s="6"/>
    </row>
    <row r="67" spans="2:18" ht="15">
      <c r="B67" s="5"/>
      <c r="C67" s="14"/>
      <c r="D67" s="5"/>
      <c r="E67" s="5" t="s">
        <v>159</v>
      </c>
      <c r="F67" s="34">
        <v>2.5</v>
      </c>
      <c r="G67" s="34">
        <v>2.5</v>
      </c>
      <c r="H67" s="34">
        <f>R54</f>
        <v>27</v>
      </c>
      <c r="I67" s="16">
        <f t="shared" si="5"/>
        <v>0.07</v>
      </c>
      <c r="J67" s="148"/>
      <c r="K67" s="148"/>
      <c r="L67" s="148"/>
      <c r="M67" s="148"/>
      <c r="N67" s="144"/>
      <c r="O67" s="153"/>
      <c r="P67" s="114" t="s">
        <v>205</v>
      </c>
      <c r="Q67" s="61" t="s">
        <v>44</v>
      </c>
      <c r="R67" s="6">
        <v>373</v>
      </c>
    </row>
    <row r="68" spans="2:18" ht="15">
      <c r="B68" s="5"/>
      <c r="C68" s="14"/>
      <c r="D68" s="195">
        <f>SUM(D54:D67)</f>
        <v>605</v>
      </c>
      <c r="E68" s="8"/>
      <c r="F68" s="34"/>
      <c r="G68" s="34"/>
      <c r="H68" s="34"/>
      <c r="I68" s="68">
        <f>SUM(I54:I67)</f>
        <v>79.8</v>
      </c>
      <c r="J68" s="68">
        <f>SUM(J54:J67)</f>
        <v>23.6</v>
      </c>
      <c r="K68" s="68">
        <f>SUM(K54:K67)</f>
        <v>45.1</v>
      </c>
      <c r="L68" s="68">
        <f>SUM(L54:L67)</f>
        <v>81.47</v>
      </c>
      <c r="M68" s="68">
        <f>SUM(M54:M67)</f>
        <v>826.18</v>
      </c>
      <c r="N68" s="148"/>
      <c r="O68" s="153">
        <f>(J68+L68)*4+K68*9</f>
        <v>826.18</v>
      </c>
      <c r="P68" s="60" t="s">
        <v>175</v>
      </c>
      <c r="Q68" s="6" t="s">
        <v>44</v>
      </c>
      <c r="R68" s="6">
        <v>153</v>
      </c>
    </row>
    <row r="69" spans="2:18" ht="15">
      <c r="B69" s="5"/>
      <c r="C69" s="72" t="s">
        <v>139</v>
      </c>
      <c r="D69" s="8"/>
      <c r="E69" s="8"/>
      <c r="F69" s="5"/>
      <c r="G69" s="5"/>
      <c r="H69" s="5"/>
      <c r="I69" s="16"/>
      <c r="J69" s="16"/>
      <c r="K69" s="16"/>
      <c r="L69" s="16"/>
      <c r="M69" s="16"/>
      <c r="N69" s="44"/>
      <c r="O69" s="153"/>
      <c r="P69" s="117"/>
      <c r="Q69" s="118"/>
      <c r="R69" s="121"/>
    </row>
    <row r="70" spans="2:19" ht="15" customHeight="1">
      <c r="B70" s="5">
        <v>1</v>
      </c>
      <c r="C70" s="3" t="s">
        <v>75</v>
      </c>
      <c r="D70" s="5">
        <v>250</v>
      </c>
      <c r="E70" s="8" t="s">
        <v>7</v>
      </c>
      <c r="F70" s="5">
        <v>107</v>
      </c>
      <c r="G70" s="5">
        <v>81</v>
      </c>
      <c r="H70" s="5">
        <f>R21</f>
        <v>54</v>
      </c>
      <c r="I70" s="16">
        <f>F70*H70/1000</f>
        <v>5.78</v>
      </c>
      <c r="J70" s="16"/>
      <c r="K70" s="16"/>
      <c r="L70" s="16"/>
      <c r="M70" s="16"/>
      <c r="N70" s="44"/>
      <c r="O70" s="153"/>
      <c r="P70" s="117"/>
      <c r="Q70" s="118"/>
      <c r="R70" s="118"/>
      <c r="S70" s="7"/>
    </row>
    <row r="71" spans="2:19" ht="15" customHeight="1">
      <c r="B71" s="5"/>
      <c r="C71" s="3" t="s">
        <v>164</v>
      </c>
      <c r="D71" s="5"/>
      <c r="E71" s="5" t="s">
        <v>77</v>
      </c>
      <c r="F71" s="5">
        <v>11</v>
      </c>
      <c r="G71" s="5">
        <v>11</v>
      </c>
      <c r="H71" s="5">
        <f>R52</f>
        <v>47</v>
      </c>
      <c r="I71" s="16">
        <f>F71*H71/1000</f>
        <v>0.52</v>
      </c>
      <c r="J71" s="16"/>
      <c r="K71" s="16"/>
      <c r="L71" s="16"/>
      <c r="M71" s="16"/>
      <c r="N71" s="44"/>
      <c r="O71" s="153"/>
      <c r="P71" s="117"/>
      <c r="Q71" s="118"/>
      <c r="R71" s="118"/>
      <c r="S71" s="7"/>
    </row>
    <row r="72" spans="2:19" ht="15" customHeight="1">
      <c r="B72" s="5"/>
      <c r="C72" s="3"/>
      <c r="D72" s="5"/>
      <c r="E72" s="5" t="s">
        <v>8</v>
      </c>
      <c r="F72" s="5">
        <v>15</v>
      </c>
      <c r="G72" s="5">
        <v>13</v>
      </c>
      <c r="H72" s="5">
        <f>R24</f>
        <v>60</v>
      </c>
      <c r="I72" s="16">
        <f>F72*H72/1000</f>
        <v>0.9</v>
      </c>
      <c r="J72" s="16"/>
      <c r="K72" s="16"/>
      <c r="L72" s="16"/>
      <c r="M72" s="16"/>
      <c r="N72" s="44"/>
      <c r="O72" s="153"/>
      <c r="P72" s="117"/>
      <c r="Q72" s="118"/>
      <c r="R72" s="118"/>
      <c r="S72" s="7"/>
    </row>
    <row r="73" spans="2:19" ht="15" customHeight="1">
      <c r="B73" s="5"/>
      <c r="C73" s="3"/>
      <c r="D73" s="5"/>
      <c r="E73" s="5" t="s">
        <v>6</v>
      </c>
      <c r="F73" s="5">
        <v>14</v>
      </c>
      <c r="G73" s="5">
        <v>12</v>
      </c>
      <c r="H73" s="5">
        <f>R23</f>
        <v>49</v>
      </c>
      <c r="I73" s="16">
        <f>F73*H73/1000</f>
        <v>0.69</v>
      </c>
      <c r="J73" s="16"/>
      <c r="K73" s="16"/>
      <c r="L73" s="16"/>
      <c r="M73" s="16"/>
      <c r="N73" s="44"/>
      <c r="O73" s="153"/>
      <c r="P73" s="117"/>
      <c r="Q73" s="118"/>
      <c r="R73" s="118"/>
      <c r="S73" s="7"/>
    </row>
    <row r="74" spans="2:19" ht="15">
      <c r="B74" s="5"/>
      <c r="C74" s="3"/>
      <c r="D74" s="5"/>
      <c r="E74" s="8" t="s">
        <v>26</v>
      </c>
      <c r="F74" s="5">
        <v>5</v>
      </c>
      <c r="G74" s="5">
        <v>5</v>
      </c>
      <c r="H74" s="5">
        <f>R36</f>
        <v>145</v>
      </c>
      <c r="I74" s="16">
        <f>F74*H74/1000</f>
        <v>0.73</v>
      </c>
      <c r="J74" s="16">
        <v>2.81</v>
      </c>
      <c r="K74" s="16">
        <v>5.42</v>
      </c>
      <c r="L74" s="16">
        <v>20.27</v>
      </c>
      <c r="M74" s="16">
        <v>141.1</v>
      </c>
      <c r="N74" s="174">
        <v>223</v>
      </c>
      <c r="O74" s="153">
        <f>(J74+L74)*4+K74*9</f>
        <v>141.1</v>
      </c>
      <c r="P74" s="117"/>
      <c r="Q74" s="118"/>
      <c r="R74" s="118"/>
      <c r="S74" s="7"/>
    </row>
    <row r="75" spans="2:19" ht="15" customHeight="1">
      <c r="B75" s="5">
        <v>2</v>
      </c>
      <c r="C75" s="2" t="s">
        <v>120</v>
      </c>
      <c r="D75" s="5">
        <v>90</v>
      </c>
      <c r="E75" s="8" t="s">
        <v>16</v>
      </c>
      <c r="F75" s="5">
        <v>69</v>
      </c>
      <c r="G75" s="5">
        <v>68</v>
      </c>
      <c r="H75" s="5">
        <f>R6</f>
        <v>622</v>
      </c>
      <c r="I75" s="16">
        <f aca="true" t="shared" si="6" ref="I75:I82">F75*H75/1000</f>
        <v>42.92</v>
      </c>
      <c r="J75" s="16"/>
      <c r="K75" s="16"/>
      <c r="L75" s="16"/>
      <c r="M75" s="16"/>
      <c r="N75" s="44"/>
      <c r="O75" s="153"/>
      <c r="P75" s="117"/>
      <c r="Q75" s="118"/>
      <c r="R75" s="118"/>
      <c r="S75" s="7"/>
    </row>
    <row r="76" spans="2:19" ht="15" customHeight="1">
      <c r="B76" s="5"/>
      <c r="C76" s="2"/>
      <c r="D76" s="5"/>
      <c r="E76" s="8" t="s">
        <v>8</v>
      </c>
      <c r="F76" s="5">
        <v>14</v>
      </c>
      <c r="G76" s="5">
        <v>12</v>
      </c>
      <c r="H76" s="5">
        <f>R24</f>
        <v>60</v>
      </c>
      <c r="I76" s="16">
        <f t="shared" si="6"/>
        <v>0.84</v>
      </c>
      <c r="J76" s="16"/>
      <c r="K76" s="16"/>
      <c r="L76" s="16"/>
      <c r="M76" s="16"/>
      <c r="N76" s="44"/>
      <c r="O76" s="153"/>
      <c r="P76" s="117"/>
      <c r="Q76" s="118"/>
      <c r="R76" s="118"/>
      <c r="S76" s="7"/>
    </row>
    <row r="77" spans="2:19" ht="15" customHeight="1">
      <c r="B77" s="5"/>
      <c r="C77" s="14"/>
      <c r="D77" s="5"/>
      <c r="E77" s="5" t="s">
        <v>6</v>
      </c>
      <c r="F77" s="5">
        <v>9</v>
      </c>
      <c r="G77" s="5">
        <v>8</v>
      </c>
      <c r="H77" s="5">
        <f>R23</f>
        <v>49</v>
      </c>
      <c r="I77" s="16">
        <f t="shared" si="6"/>
        <v>0.44</v>
      </c>
      <c r="J77" s="16"/>
      <c r="K77" s="16"/>
      <c r="L77" s="16"/>
      <c r="M77" s="16"/>
      <c r="N77" s="44"/>
      <c r="O77" s="153"/>
      <c r="P77" s="117"/>
      <c r="Q77" s="118"/>
      <c r="R77" s="118"/>
      <c r="S77" s="7"/>
    </row>
    <row r="78" spans="2:19" ht="15" customHeight="1">
      <c r="B78" s="5"/>
      <c r="C78" s="14"/>
      <c r="D78" s="5"/>
      <c r="E78" s="5" t="s">
        <v>18</v>
      </c>
      <c r="F78" s="5">
        <v>2</v>
      </c>
      <c r="G78" s="5">
        <v>2</v>
      </c>
      <c r="H78" s="5">
        <f>R29</f>
        <v>142</v>
      </c>
      <c r="I78" s="16">
        <f t="shared" si="6"/>
        <v>0.28</v>
      </c>
      <c r="J78" s="16"/>
      <c r="K78" s="16"/>
      <c r="L78" s="16"/>
      <c r="M78" s="16"/>
      <c r="N78" s="44"/>
      <c r="O78" s="153"/>
      <c r="P78" s="117"/>
      <c r="Q78" s="118"/>
      <c r="R78" s="118"/>
      <c r="S78" s="7"/>
    </row>
    <row r="79" spans="2:19" ht="15">
      <c r="B79" s="5"/>
      <c r="C79" s="14"/>
      <c r="D79" s="5"/>
      <c r="E79" s="5" t="s">
        <v>28</v>
      </c>
      <c r="F79" s="5">
        <v>2</v>
      </c>
      <c r="G79" s="5">
        <v>2</v>
      </c>
      <c r="H79" s="174">
        <f>R13</f>
        <v>467</v>
      </c>
      <c r="I79" s="16">
        <f>F79*H79/1000</f>
        <v>0.93</v>
      </c>
      <c r="J79" s="16"/>
      <c r="K79" s="16"/>
      <c r="L79" s="16"/>
      <c r="M79" s="16"/>
      <c r="N79" s="44"/>
      <c r="O79" s="153"/>
      <c r="P79" s="117"/>
      <c r="Q79" s="118"/>
      <c r="R79" s="118"/>
      <c r="S79" s="7"/>
    </row>
    <row r="80" spans="2:19" ht="15" customHeight="1">
      <c r="B80" s="5"/>
      <c r="C80" s="14"/>
      <c r="D80" s="5"/>
      <c r="E80" s="5" t="s">
        <v>74</v>
      </c>
      <c r="F80" s="5">
        <v>3</v>
      </c>
      <c r="G80" s="5">
        <v>3</v>
      </c>
      <c r="H80" s="28">
        <f>R39</f>
        <v>40</v>
      </c>
      <c r="I80" s="16">
        <f t="shared" si="6"/>
        <v>0.12</v>
      </c>
      <c r="J80" s="191">
        <v>11.56</v>
      </c>
      <c r="K80" s="191">
        <v>20.35</v>
      </c>
      <c r="L80" s="191">
        <v>3.08</v>
      </c>
      <c r="M80" s="189">
        <v>241.71</v>
      </c>
      <c r="N80" s="190">
        <v>277</v>
      </c>
      <c r="O80" s="153">
        <f>(J80+L80)*4+K80*9</f>
        <v>241.71</v>
      </c>
      <c r="P80" s="117"/>
      <c r="Q80" s="118"/>
      <c r="R80" s="118"/>
      <c r="S80" s="7"/>
    </row>
    <row r="81" spans="2:19" ht="15" customHeight="1">
      <c r="B81" s="5">
        <v>3</v>
      </c>
      <c r="C81" s="32" t="s">
        <v>141</v>
      </c>
      <c r="D81" s="28">
        <v>150</v>
      </c>
      <c r="E81" s="28" t="s">
        <v>142</v>
      </c>
      <c r="F81" s="28">
        <v>54</v>
      </c>
      <c r="G81" s="28">
        <v>54</v>
      </c>
      <c r="H81" s="28">
        <f>R45</f>
        <v>57</v>
      </c>
      <c r="I81" s="29">
        <f t="shared" si="6"/>
        <v>3.08</v>
      </c>
      <c r="J81" s="16"/>
      <c r="K81" s="16"/>
      <c r="L81" s="16"/>
      <c r="M81" s="16"/>
      <c r="N81" s="44"/>
      <c r="O81" s="153"/>
      <c r="P81" s="117"/>
      <c r="Q81" s="118"/>
      <c r="R81" s="118"/>
      <c r="S81" s="7"/>
    </row>
    <row r="82" spans="2:19" ht="15" customHeight="1">
      <c r="B82" s="5"/>
      <c r="C82" s="32"/>
      <c r="D82" s="28"/>
      <c r="E82" s="28" t="s">
        <v>28</v>
      </c>
      <c r="F82" s="28">
        <v>6</v>
      </c>
      <c r="G82" s="28">
        <v>6</v>
      </c>
      <c r="H82" s="28">
        <f>R13</f>
        <v>467</v>
      </c>
      <c r="I82" s="29">
        <f t="shared" si="6"/>
        <v>2.8</v>
      </c>
      <c r="J82" s="16">
        <v>6.6</v>
      </c>
      <c r="K82" s="16">
        <v>5.73</v>
      </c>
      <c r="L82" s="16">
        <v>37.89</v>
      </c>
      <c r="M82" s="16">
        <v>229.53</v>
      </c>
      <c r="N82" s="44">
        <v>302</v>
      </c>
      <c r="O82" s="153">
        <f>(J82+L82)*4+K82*9</f>
        <v>229.53</v>
      </c>
      <c r="P82" s="117"/>
      <c r="Q82" s="118"/>
      <c r="R82" s="118"/>
      <c r="S82" s="7"/>
    </row>
    <row r="83" spans="2:19" ht="15" customHeight="1">
      <c r="B83" s="5">
        <v>4</v>
      </c>
      <c r="C83" s="32" t="s">
        <v>35</v>
      </c>
      <c r="D83" s="28">
        <v>50</v>
      </c>
      <c r="E83" s="28" t="s">
        <v>19</v>
      </c>
      <c r="F83" s="28">
        <v>50</v>
      </c>
      <c r="G83" s="28">
        <v>50</v>
      </c>
      <c r="H83" s="28">
        <f>R60</f>
        <v>48</v>
      </c>
      <c r="I83" s="29">
        <f aca="true" t="shared" si="7" ref="I83:I88">H83*F83/1000</f>
        <v>2.4</v>
      </c>
      <c r="J83" s="189">
        <v>3.06</v>
      </c>
      <c r="K83" s="189">
        <v>9.54</v>
      </c>
      <c r="L83" s="189">
        <v>18.28</v>
      </c>
      <c r="M83" s="189">
        <f>(J83+L83)*4+K83*9</f>
        <v>171.22</v>
      </c>
      <c r="N83" s="190"/>
      <c r="O83" s="153">
        <f>(J83+L83)*4+K83*9</f>
        <v>171.22</v>
      </c>
      <c r="P83" s="117"/>
      <c r="Q83" s="118"/>
      <c r="R83" s="118"/>
      <c r="S83" s="7"/>
    </row>
    <row r="84" spans="2:19" ht="15" customHeight="1">
      <c r="B84" s="5">
        <v>5</v>
      </c>
      <c r="C84" s="14" t="s">
        <v>25</v>
      </c>
      <c r="D84" s="5">
        <v>200</v>
      </c>
      <c r="E84" s="5" t="s">
        <v>20</v>
      </c>
      <c r="F84" s="5">
        <v>17</v>
      </c>
      <c r="G84" s="5">
        <v>17</v>
      </c>
      <c r="H84" s="5">
        <f>R32</f>
        <v>140</v>
      </c>
      <c r="I84" s="16">
        <f t="shared" si="7"/>
        <v>2.38</v>
      </c>
      <c r="J84" s="16"/>
      <c r="K84" s="16"/>
      <c r="L84" s="16"/>
      <c r="M84" s="16"/>
      <c r="N84" s="44"/>
      <c r="O84" s="153"/>
      <c r="P84" s="117"/>
      <c r="Q84" s="118"/>
      <c r="R84" s="118"/>
      <c r="S84" s="7"/>
    </row>
    <row r="85" spans="2:19" ht="15" customHeight="1">
      <c r="B85" s="5"/>
      <c r="C85" s="14"/>
      <c r="D85" s="5"/>
      <c r="E85" s="5" t="s">
        <v>2</v>
      </c>
      <c r="F85" s="5">
        <v>13</v>
      </c>
      <c r="G85" s="5">
        <v>13</v>
      </c>
      <c r="H85" s="5">
        <f>R50</f>
        <v>85</v>
      </c>
      <c r="I85" s="16">
        <f t="shared" si="7"/>
        <v>1.11</v>
      </c>
      <c r="J85" s="192">
        <v>0.04</v>
      </c>
      <c r="K85" s="192">
        <v>0</v>
      </c>
      <c r="L85" s="192">
        <v>24.76</v>
      </c>
      <c r="M85" s="189">
        <f>(J85+L85)*4+K85*9</f>
        <v>99.2</v>
      </c>
      <c r="N85" s="190">
        <v>349</v>
      </c>
      <c r="O85" s="153">
        <f>(J85+L85)*4+K85*9</f>
        <v>99.2</v>
      </c>
      <c r="P85" s="117"/>
      <c r="Q85" s="118"/>
      <c r="R85" s="118"/>
      <c r="S85" s="7"/>
    </row>
    <row r="86" spans="2:22" ht="15">
      <c r="B86" s="5">
        <v>6</v>
      </c>
      <c r="C86" s="185" t="s">
        <v>198</v>
      </c>
      <c r="D86" s="5">
        <v>80</v>
      </c>
      <c r="E86" s="5" t="s">
        <v>199</v>
      </c>
      <c r="F86" s="34">
        <v>80</v>
      </c>
      <c r="G86" s="34"/>
      <c r="H86" s="5">
        <f>R31</f>
        <v>172</v>
      </c>
      <c r="I86" s="16">
        <f t="shared" si="7"/>
        <v>13.76</v>
      </c>
      <c r="J86" s="16">
        <v>1.5</v>
      </c>
      <c r="K86" s="16">
        <v>0.5</v>
      </c>
      <c r="L86" s="16">
        <v>8</v>
      </c>
      <c r="M86" s="16">
        <v>42.5</v>
      </c>
      <c r="N86" s="190"/>
      <c r="O86" s="153">
        <f>(J86+L86)*4+K86*9</f>
        <v>42.5</v>
      </c>
      <c r="P86" s="117"/>
      <c r="Q86" s="118"/>
      <c r="R86" s="118"/>
      <c r="S86" s="21"/>
      <c r="T86" s="36"/>
      <c r="U86" s="22"/>
      <c r="V86" s="22"/>
    </row>
    <row r="87" spans="2:22" ht="15">
      <c r="B87" s="5"/>
      <c r="C87" s="75"/>
      <c r="D87" s="5"/>
      <c r="E87" s="5" t="s">
        <v>159</v>
      </c>
      <c r="F87" s="5">
        <v>4</v>
      </c>
      <c r="G87" s="5">
        <v>4</v>
      </c>
      <c r="H87" s="5">
        <f>R54</f>
        <v>27</v>
      </c>
      <c r="I87" s="16">
        <f t="shared" si="7"/>
        <v>0.11</v>
      </c>
      <c r="J87" s="16"/>
      <c r="K87" s="16"/>
      <c r="L87" s="16"/>
      <c r="M87" s="16"/>
      <c r="N87" s="44"/>
      <c r="O87" s="153"/>
      <c r="P87" s="117"/>
      <c r="Q87" s="118"/>
      <c r="R87" s="119"/>
      <c r="S87" s="21"/>
      <c r="T87" s="36"/>
      <c r="U87" s="22"/>
      <c r="V87" s="22"/>
    </row>
    <row r="88" spans="2:22" ht="15">
      <c r="B88" s="5"/>
      <c r="C88" s="14"/>
      <c r="D88" s="5"/>
      <c r="E88" s="5" t="s">
        <v>93</v>
      </c>
      <c r="F88" s="5">
        <v>0.02</v>
      </c>
      <c r="G88" s="5">
        <v>0.02</v>
      </c>
      <c r="H88" s="5">
        <f>R59</f>
        <v>617</v>
      </c>
      <c r="I88" s="16">
        <f t="shared" si="7"/>
        <v>0.01</v>
      </c>
      <c r="J88" s="16"/>
      <c r="K88" s="16"/>
      <c r="L88" s="16"/>
      <c r="M88" s="16"/>
      <c r="N88" s="44"/>
      <c r="O88" s="153"/>
      <c r="P88" s="117"/>
      <c r="Q88" s="118"/>
      <c r="R88" s="120"/>
      <c r="S88" s="21"/>
      <c r="T88" s="21"/>
      <c r="U88" s="21"/>
      <c r="V88" s="22"/>
    </row>
    <row r="89" spans="2:19" ht="15">
      <c r="B89" s="5"/>
      <c r="C89" s="14"/>
      <c r="D89" s="195">
        <f>SUM(D70:D88)</f>
        <v>820</v>
      </c>
      <c r="E89" s="5"/>
      <c r="F89" s="5"/>
      <c r="G89" s="5"/>
      <c r="H89" s="34"/>
      <c r="I89" s="68">
        <f>SUM(I70:I88)</f>
        <v>79.8</v>
      </c>
      <c r="J89" s="68">
        <f>SUM(J70:J88)</f>
        <v>25.57</v>
      </c>
      <c r="K89" s="68">
        <f>SUM(K70:K88)</f>
        <v>41.54</v>
      </c>
      <c r="L89" s="68">
        <f>SUM(L70:L88)</f>
        <v>112.28</v>
      </c>
      <c r="M89" s="68">
        <f>SUM(M70:M88)</f>
        <v>925.26</v>
      </c>
      <c r="N89" s="144"/>
      <c r="O89" s="153">
        <f>(J89+L89)*4+K89*9</f>
        <v>925.26</v>
      </c>
      <c r="P89" s="122"/>
      <c r="Q89" s="121"/>
      <c r="R89" s="123"/>
      <c r="S89" s="7"/>
    </row>
    <row r="90" spans="2:19" ht="15">
      <c r="B90" s="21"/>
      <c r="C90" s="20"/>
      <c r="D90" s="21"/>
      <c r="E90" s="21"/>
      <c r="F90" s="21"/>
      <c r="G90" s="21"/>
      <c r="H90" s="36"/>
      <c r="I90" s="91"/>
      <c r="J90" s="91"/>
      <c r="K90" s="91"/>
      <c r="L90" s="91"/>
      <c r="M90" s="91"/>
      <c r="N90" s="145"/>
      <c r="O90" s="153"/>
      <c r="P90" s="7"/>
      <c r="Q90" s="7"/>
      <c r="R90" s="7"/>
      <c r="S90" s="7"/>
    </row>
    <row r="91" spans="3:19" ht="15">
      <c r="C91" s="64" t="s">
        <v>37</v>
      </c>
      <c r="D91" s="23"/>
      <c r="E91" s="27"/>
      <c r="O91" s="153"/>
      <c r="P91" s="7"/>
      <c r="Q91" s="7"/>
      <c r="R91" s="7"/>
      <c r="S91" s="7"/>
    </row>
    <row r="92" spans="2:20" ht="28.5">
      <c r="B92" s="253" t="s">
        <v>3</v>
      </c>
      <c r="C92" s="5"/>
      <c r="D92" s="8" t="s">
        <v>4</v>
      </c>
      <c r="E92" s="253" t="s">
        <v>29</v>
      </c>
      <c r="F92" s="96" t="s">
        <v>12</v>
      </c>
      <c r="G92" s="96" t="s">
        <v>57</v>
      </c>
      <c r="H92" s="96" t="s">
        <v>30</v>
      </c>
      <c r="I92" s="96" t="s">
        <v>31</v>
      </c>
      <c r="J92" s="252" t="s">
        <v>70</v>
      </c>
      <c r="K92" s="252" t="s">
        <v>71</v>
      </c>
      <c r="L92" s="252" t="s">
        <v>72</v>
      </c>
      <c r="M92" s="252" t="s">
        <v>73</v>
      </c>
      <c r="N92" s="250" t="s">
        <v>144</v>
      </c>
      <c r="O92" s="153"/>
      <c r="P92" s="7"/>
      <c r="Q92" s="7"/>
      <c r="R92" s="7"/>
      <c r="S92" s="7"/>
      <c r="T92" s="7"/>
    </row>
    <row r="93" spans="2:20" ht="15">
      <c r="B93" s="257"/>
      <c r="C93" s="71" t="s">
        <v>138</v>
      </c>
      <c r="D93" s="8" t="s">
        <v>32</v>
      </c>
      <c r="E93" s="255"/>
      <c r="F93" s="5" t="s">
        <v>32</v>
      </c>
      <c r="G93" s="5" t="s">
        <v>32</v>
      </c>
      <c r="H93" s="5" t="s">
        <v>33</v>
      </c>
      <c r="I93" s="5" t="s">
        <v>34</v>
      </c>
      <c r="J93" s="251"/>
      <c r="K93" s="251"/>
      <c r="L93" s="251"/>
      <c r="M93" s="251"/>
      <c r="N93" s="251"/>
      <c r="O93" s="153"/>
      <c r="P93" s="20"/>
      <c r="Q93" s="21"/>
      <c r="R93" s="21"/>
      <c r="S93" s="21"/>
      <c r="T93" s="21"/>
    </row>
    <row r="94" spans="2:20" ht="14.25">
      <c r="B94" s="9">
        <v>1</v>
      </c>
      <c r="C94" s="179" t="s">
        <v>165</v>
      </c>
      <c r="D94" s="163">
        <v>40</v>
      </c>
      <c r="E94" s="163" t="s">
        <v>11</v>
      </c>
      <c r="F94" s="163">
        <v>1</v>
      </c>
      <c r="G94" s="163">
        <v>40</v>
      </c>
      <c r="H94" s="16">
        <f>R5</f>
        <v>13.5</v>
      </c>
      <c r="I94" s="16">
        <f>H94*F94</f>
        <v>13.5</v>
      </c>
      <c r="J94" s="10">
        <v>5.08</v>
      </c>
      <c r="K94" s="10">
        <v>4.6</v>
      </c>
      <c r="L94" s="10">
        <v>0.28</v>
      </c>
      <c r="M94" s="10">
        <v>62.84</v>
      </c>
      <c r="N94" s="169">
        <v>213</v>
      </c>
      <c r="O94" s="153">
        <f>(J94+L94)*4+K94*9</f>
        <v>62.84</v>
      </c>
      <c r="P94" s="20"/>
      <c r="Q94" s="21"/>
      <c r="R94" s="21"/>
      <c r="S94" s="21"/>
      <c r="T94" s="21"/>
    </row>
    <row r="95" spans="2:20" ht="14.25">
      <c r="B95" s="9">
        <v>2</v>
      </c>
      <c r="C95" s="179" t="s">
        <v>166</v>
      </c>
      <c r="D95" s="165">
        <v>100</v>
      </c>
      <c r="E95" s="163" t="s">
        <v>167</v>
      </c>
      <c r="F95" s="163">
        <v>100</v>
      </c>
      <c r="G95" s="163">
        <v>100</v>
      </c>
      <c r="H95" s="5">
        <f>R27</f>
        <v>123</v>
      </c>
      <c r="I95" s="16">
        <f aca="true" t="shared" si="8" ref="I95:I107">H95*F95/1000</f>
        <v>12.3</v>
      </c>
      <c r="J95" s="16">
        <v>0.92</v>
      </c>
      <c r="K95" s="16">
        <v>4.73</v>
      </c>
      <c r="L95" s="16">
        <v>5.92</v>
      </c>
      <c r="M95" s="166">
        <v>69.93</v>
      </c>
      <c r="N95" s="173"/>
      <c r="O95" s="153">
        <f>(J95+L95)*4+K95*9</f>
        <v>69.93</v>
      </c>
      <c r="P95" s="20"/>
      <c r="Q95" s="21"/>
      <c r="R95" s="21"/>
      <c r="S95" s="21"/>
      <c r="T95" s="21"/>
    </row>
    <row r="96" spans="2:20" ht="14.25">
      <c r="B96" s="9">
        <v>3</v>
      </c>
      <c r="C96" s="179" t="s">
        <v>195</v>
      </c>
      <c r="D96" s="170">
        <v>170</v>
      </c>
      <c r="E96" s="180" t="s">
        <v>74</v>
      </c>
      <c r="F96" s="171">
        <v>79</v>
      </c>
      <c r="G96" s="172">
        <v>79</v>
      </c>
      <c r="H96" s="5">
        <f>R39</f>
        <v>40</v>
      </c>
      <c r="I96" s="16">
        <f t="shared" si="8"/>
        <v>3.16</v>
      </c>
      <c r="J96" s="189"/>
      <c r="K96" s="189"/>
      <c r="L96" s="189"/>
      <c r="M96" s="189"/>
      <c r="N96" s="44"/>
      <c r="O96" s="153"/>
      <c r="P96" s="20"/>
      <c r="Q96" s="21"/>
      <c r="R96" s="21"/>
      <c r="S96" s="21"/>
      <c r="T96" s="21"/>
    </row>
    <row r="97" spans="2:20" ht="14.25">
      <c r="B97" s="9"/>
      <c r="C97" s="32"/>
      <c r="D97" s="170"/>
      <c r="E97" s="180" t="s">
        <v>2</v>
      </c>
      <c r="F97" s="171">
        <v>3</v>
      </c>
      <c r="G97" s="172">
        <v>3</v>
      </c>
      <c r="H97" s="5">
        <f>R50</f>
        <v>85</v>
      </c>
      <c r="I97" s="16">
        <f t="shared" si="8"/>
        <v>0.26</v>
      </c>
      <c r="J97" s="189"/>
      <c r="K97" s="189"/>
      <c r="L97" s="189"/>
      <c r="M97" s="189"/>
      <c r="N97" s="44"/>
      <c r="O97" s="153"/>
      <c r="P97" s="20"/>
      <c r="Q97" s="21"/>
      <c r="R97" s="21"/>
      <c r="S97" s="21"/>
      <c r="T97" s="21"/>
    </row>
    <row r="98" spans="2:20" ht="14.25">
      <c r="B98" s="9"/>
      <c r="C98" s="32"/>
      <c r="D98" s="170"/>
      <c r="E98" s="180" t="s">
        <v>26</v>
      </c>
      <c r="F98" s="171">
        <v>4</v>
      </c>
      <c r="G98" s="172">
        <v>4</v>
      </c>
      <c r="H98" s="5">
        <f>R36</f>
        <v>145</v>
      </c>
      <c r="I98" s="16">
        <f t="shared" si="8"/>
        <v>0.58</v>
      </c>
      <c r="J98" s="189"/>
      <c r="K98" s="189"/>
      <c r="L98" s="189"/>
      <c r="M98" s="189"/>
      <c r="N98" s="44"/>
      <c r="O98" s="153"/>
      <c r="P98" s="20"/>
      <c r="Q98" s="21"/>
      <c r="R98" s="21"/>
      <c r="S98" s="21"/>
      <c r="T98" s="21"/>
    </row>
    <row r="99" spans="2:20" ht="14.25">
      <c r="B99" s="9"/>
      <c r="C99" s="32"/>
      <c r="D99" s="170"/>
      <c r="E99" s="180" t="s">
        <v>11</v>
      </c>
      <c r="F99" s="171">
        <v>0.18</v>
      </c>
      <c r="G99" s="172">
        <v>0.18</v>
      </c>
      <c r="H99" s="16">
        <f>R5</f>
        <v>13.5</v>
      </c>
      <c r="I99" s="16">
        <f>H99*F99</f>
        <v>2.43</v>
      </c>
      <c r="J99" s="189"/>
      <c r="K99" s="189"/>
      <c r="L99" s="189"/>
      <c r="M99" s="189"/>
      <c r="N99" s="44"/>
      <c r="O99" s="153"/>
      <c r="P99" s="20"/>
      <c r="Q99" s="21"/>
      <c r="R99" s="21"/>
      <c r="S99" s="21"/>
      <c r="T99" s="21"/>
    </row>
    <row r="100" spans="2:20" ht="14.25">
      <c r="B100" s="9"/>
      <c r="C100" s="32"/>
      <c r="D100" s="170"/>
      <c r="E100" s="180" t="s">
        <v>169</v>
      </c>
      <c r="F100" s="171">
        <v>1</v>
      </c>
      <c r="G100" s="172">
        <v>1</v>
      </c>
      <c r="H100" s="5">
        <f>R53</f>
        <v>377</v>
      </c>
      <c r="I100" s="16">
        <f t="shared" si="8"/>
        <v>0.38</v>
      </c>
      <c r="J100" s="189"/>
      <c r="K100" s="189"/>
      <c r="L100" s="189"/>
      <c r="M100" s="189"/>
      <c r="N100" s="44"/>
      <c r="O100" s="153"/>
      <c r="P100" s="20"/>
      <c r="Q100" s="21"/>
      <c r="R100" s="21"/>
      <c r="S100" s="21"/>
      <c r="T100" s="21"/>
    </row>
    <row r="101" spans="2:20" ht="14.25">
      <c r="B101" s="9"/>
      <c r="C101" s="32"/>
      <c r="D101" s="170"/>
      <c r="E101" s="163" t="s">
        <v>194</v>
      </c>
      <c r="F101" s="164">
        <v>46</v>
      </c>
      <c r="G101" s="164">
        <v>37</v>
      </c>
      <c r="H101" s="5">
        <f>R7</f>
        <v>292</v>
      </c>
      <c r="I101" s="16">
        <f t="shared" si="8"/>
        <v>13.43</v>
      </c>
      <c r="J101" s="189"/>
      <c r="K101" s="189"/>
      <c r="L101" s="189"/>
      <c r="M101" s="189"/>
      <c r="N101" s="44"/>
      <c r="O101" s="153"/>
      <c r="P101" s="20"/>
      <c r="Q101" s="21"/>
      <c r="R101" s="21"/>
      <c r="S101" s="21"/>
      <c r="T101" s="21"/>
    </row>
    <row r="102" spans="2:20" ht="14.25">
      <c r="B102" s="9"/>
      <c r="C102" s="32"/>
      <c r="D102" s="170"/>
      <c r="E102" s="163" t="s">
        <v>23</v>
      </c>
      <c r="F102" s="164">
        <v>18</v>
      </c>
      <c r="G102" s="164">
        <v>18</v>
      </c>
      <c r="H102" s="5">
        <f>R16</f>
        <v>543</v>
      </c>
      <c r="I102" s="16">
        <f t="shared" si="8"/>
        <v>9.77</v>
      </c>
      <c r="J102" s="106"/>
      <c r="K102" s="106"/>
      <c r="L102" s="106"/>
      <c r="M102" s="106"/>
      <c r="N102" s="161"/>
      <c r="O102" s="153"/>
      <c r="P102" s="20"/>
      <c r="Q102" s="21"/>
      <c r="R102" s="21"/>
      <c r="S102" s="21"/>
      <c r="T102" s="21"/>
    </row>
    <row r="103" spans="2:20" ht="14.25">
      <c r="B103" s="204"/>
      <c r="C103" s="32"/>
      <c r="D103" s="170"/>
      <c r="E103" s="163" t="s">
        <v>18</v>
      </c>
      <c r="F103" s="164">
        <v>6</v>
      </c>
      <c r="G103" s="164">
        <v>6</v>
      </c>
      <c r="H103" s="5">
        <f>R29</f>
        <v>142</v>
      </c>
      <c r="I103" s="16">
        <f t="shared" si="8"/>
        <v>0.85</v>
      </c>
      <c r="J103" s="205"/>
      <c r="K103" s="205"/>
      <c r="L103" s="205"/>
      <c r="M103" s="205"/>
      <c r="N103" s="161"/>
      <c r="O103" s="153"/>
      <c r="P103" s="20"/>
      <c r="Q103" s="21"/>
      <c r="R103" s="21"/>
      <c r="S103" s="21"/>
      <c r="T103" s="21"/>
    </row>
    <row r="104" spans="2:20" ht="14.25">
      <c r="B104" s="204"/>
      <c r="C104" s="32"/>
      <c r="D104" s="170"/>
      <c r="E104" s="163" t="s">
        <v>9</v>
      </c>
      <c r="F104" s="164">
        <v>17</v>
      </c>
      <c r="G104" s="163">
        <v>17</v>
      </c>
      <c r="H104" s="5">
        <f>R14</f>
        <v>199</v>
      </c>
      <c r="I104" s="16">
        <f t="shared" si="8"/>
        <v>3.38</v>
      </c>
      <c r="J104" s="166">
        <v>20.21</v>
      </c>
      <c r="K104" s="166">
        <v>27.64</v>
      </c>
      <c r="L104" s="166">
        <v>48.12</v>
      </c>
      <c r="M104" s="166">
        <v>522.08</v>
      </c>
      <c r="N104" s="206">
        <v>413</v>
      </c>
      <c r="O104" s="153">
        <f>(J104+L104)*4+K104*9</f>
        <v>522.08</v>
      </c>
      <c r="P104" s="20"/>
      <c r="Q104" s="21"/>
      <c r="R104" s="21"/>
      <c r="S104" s="21"/>
      <c r="T104" s="21"/>
    </row>
    <row r="105" spans="2:20" s="70" customFormat="1" ht="14.25">
      <c r="B105" s="231">
        <v>4</v>
      </c>
      <c r="C105" s="202" t="s">
        <v>79</v>
      </c>
      <c r="D105" s="34">
        <v>200</v>
      </c>
      <c r="E105" s="34" t="s">
        <v>126</v>
      </c>
      <c r="F105" s="34">
        <v>2</v>
      </c>
      <c r="G105" s="34">
        <v>2</v>
      </c>
      <c r="H105" s="34">
        <f>R56</f>
        <v>467</v>
      </c>
      <c r="I105" s="76">
        <f t="shared" si="8"/>
        <v>0.93</v>
      </c>
      <c r="J105" s="232"/>
      <c r="K105" s="232"/>
      <c r="L105" s="232"/>
      <c r="M105" s="232"/>
      <c r="N105" s="233"/>
      <c r="O105" s="184"/>
      <c r="P105" s="139"/>
      <c r="Q105" s="36"/>
      <c r="R105" s="36"/>
      <c r="S105" s="36"/>
      <c r="T105" s="36"/>
    </row>
    <row r="106" spans="2:20" s="70" customFormat="1" ht="14.25">
      <c r="B106" s="231"/>
      <c r="C106" s="202"/>
      <c r="D106" s="34"/>
      <c r="E106" s="34" t="s">
        <v>2</v>
      </c>
      <c r="F106" s="34">
        <v>11</v>
      </c>
      <c r="G106" s="34">
        <v>11</v>
      </c>
      <c r="H106" s="34">
        <f>R50</f>
        <v>85</v>
      </c>
      <c r="I106" s="76">
        <f t="shared" si="8"/>
        <v>0.94</v>
      </c>
      <c r="J106" s="232"/>
      <c r="K106" s="232"/>
      <c r="L106" s="232"/>
      <c r="M106" s="232"/>
      <c r="N106" s="233"/>
      <c r="O106" s="184"/>
      <c r="P106" s="139"/>
      <c r="Q106" s="36"/>
      <c r="R106" s="36"/>
      <c r="S106" s="36"/>
      <c r="T106" s="36"/>
    </row>
    <row r="107" spans="2:20" s="70" customFormat="1" ht="14.25">
      <c r="B107" s="231"/>
      <c r="C107" s="202"/>
      <c r="D107" s="34"/>
      <c r="E107" s="34" t="s">
        <v>10</v>
      </c>
      <c r="F107" s="34">
        <v>95</v>
      </c>
      <c r="G107" s="34">
        <v>95</v>
      </c>
      <c r="H107" s="34">
        <f>R12</f>
        <v>72</v>
      </c>
      <c r="I107" s="76">
        <f t="shared" si="8"/>
        <v>6.84</v>
      </c>
      <c r="J107" s="76">
        <v>2.92</v>
      </c>
      <c r="K107" s="76">
        <v>3.59</v>
      </c>
      <c r="L107" s="76">
        <v>20.25</v>
      </c>
      <c r="M107" s="76">
        <v>124.99</v>
      </c>
      <c r="N107" s="44">
        <v>1024</v>
      </c>
      <c r="O107" s="184">
        <f>(J107+L107)*4+K107*9</f>
        <v>124.99</v>
      </c>
      <c r="P107" s="139"/>
      <c r="Q107" s="36"/>
      <c r="R107" s="36"/>
      <c r="S107" s="36"/>
      <c r="T107" s="36"/>
    </row>
    <row r="108" spans="2:20" ht="14.25">
      <c r="B108" s="33">
        <v>5</v>
      </c>
      <c r="C108" s="185" t="s">
        <v>131</v>
      </c>
      <c r="D108" s="5">
        <v>100</v>
      </c>
      <c r="E108" s="5" t="s">
        <v>132</v>
      </c>
      <c r="F108" s="33">
        <v>100</v>
      </c>
      <c r="G108" s="33"/>
      <c r="H108" s="5">
        <f>R30</f>
        <v>110</v>
      </c>
      <c r="I108" s="16">
        <f>H108*F108/1000</f>
        <v>11</v>
      </c>
      <c r="J108" s="16">
        <v>0.4</v>
      </c>
      <c r="K108" s="16">
        <v>0.4</v>
      </c>
      <c r="L108" s="16">
        <v>9.8</v>
      </c>
      <c r="M108" s="16">
        <v>44.4</v>
      </c>
      <c r="N108" s="190">
        <v>368</v>
      </c>
      <c r="O108" s="153">
        <f>(J108+L108)*4+K108*9</f>
        <v>44.4</v>
      </c>
      <c r="P108" s="21"/>
      <c r="Q108" s="21"/>
      <c r="R108" s="21"/>
      <c r="S108" s="21"/>
      <c r="T108" s="21"/>
    </row>
    <row r="109" spans="2:20" ht="14.25">
      <c r="B109" s="5"/>
      <c r="C109" s="14"/>
      <c r="D109" s="5"/>
      <c r="E109" s="5" t="s">
        <v>159</v>
      </c>
      <c r="F109" s="5">
        <v>2</v>
      </c>
      <c r="G109" s="5">
        <v>2</v>
      </c>
      <c r="H109" s="5">
        <f>R54</f>
        <v>27</v>
      </c>
      <c r="I109" s="16">
        <f>H109*F109/1000</f>
        <v>0.05</v>
      </c>
      <c r="J109" s="2"/>
      <c r="K109" s="2"/>
      <c r="L109" s="2"/>
      <c r="M109" s="2"/>
      <c r="N109" s="44"/>
      <c r="O109" s="153"/>
      <c r="P109" s="21"/>
      <c r="Q109" s="21"/>
      <c r="R109" s="21"/>
      <c r="S109" s="21"/>
      <c r="T109" s="21"/>
    </row>
    <row r="110" spans="2:20" ht="15">
      <c r="B110" s="15"/>
      <c r="C110" s="14"/>
      <c r="D110" s="195">
        <f>SUM(D94:D109)</f>
        <v>610</v>
      </c>
      <c r="E110" s="5"/>
      <c r="F110" s="5"/>
      <c r="G110" s="5"/>
      <c r="H110" s="16"/>
      <c r="I110" s="68">
        <f>SUM(I94:I109)</f>
        <v>79.8</v>
      </c>
      <c r="J110" s="68">
        <f>SUM(J94:J109)</f>
        <v>29.53</v>
      </c>
      <c r="K110" s="68">
        <f>SUM(K94:K109)</f>
        <v>40.96</v>
      </c>
      <c r="L110" s="68">
        <f>SUM(L94:L109)</f>
        <v>84.37</v>
      </c>
      <c r="M110" s="68">
        <f>SUM(M94:M109)</f>
        <v>824.24</v>
      </c>
      <c r="N110" s="44"/>
      <c r="O110" s="153">
        <f>(J110+L110)*4+K110*9</f>
        <v>824.24</v>
      </c>
      <c r="P110" s="21"/>
      <c r="Q110" s="21"/>
      <c r="R110" s="21"/>
      <c r="S110" s="21"/>
      <c r="T110" s="21"/>
    </row>
    <row r="111" spans="2:19" ht="15">
      <c r="B111" s="15"/>
      <c r="C111" s="72" t="s">
        <v>139</v>
      </c>
      <c r="D111" s="8"/>
      <c r="E111" s="8"/>
      <c r="F111" s="5"/>
      <c r="G111" s="5"/>
      <c r="H111" s="5"/>
      <c r="I111" s="16"/>
      <c r="J111" s="16"/>
      <c r="K111" s="16"/>
      <c r="L111" s="16"/>
      <c r="M111" s="16"/>
      <c r="N111" s="44"/>
      <c r="O111" s="153"/>
      <c r="P111" s="7"/>
      <c r="Q111" s="7"/>
      <c r="R111" s="7"/>
      <c r="S111" s="7"/>
    </row>
    <row r="112" spans="2:19" ht="14.25">
      <c r="B112" s="5">
        <v>1</v>
      </c>
      <c r="C112" s="32" t="s">
        <v>149</v>
      </c>
      <c r="D112" s="97">
        <v>250</v>
      </c>
      <c r="E112" s="28" t="s">
        <v>7</v>
      </c>
      <c r="F112" s="5">
        <v>79</v>
      </c>
      <c r="G112" s="5">
        <v>53</v>
      </c>
      <c r="H112" s="34">
        <f>R21</f>
        <v>54</v>
      </c>
      <c r="I112" s="16">
        <f aca="true" t="shared" si="9" ref="I112:I117">H112*F112/1000</f>
        <v>4.27</v>
      </c>
      <c r="J112" s="16"/>
      <c r="K112" s="16"/>
      <c r="L112" s="16"/>
      <c r="M112" s="16"/>
      <c r="N112" s="44"/>
      <c r="O112" s="153"/>
      <c r="P112" s="7"/>
      <c r="Q112" s="7"/>
      <c r="R112" s="7"/>
      <c r="S112" s="7"/>
    </row>
    <row r="113" spans="2:15" ht="14.25">
      <c r="B113" s="5"/>
      <c r="C113" s="32"/>
      <c r="D113" s="28"/>
      <c r="E113" s="28" t="s">
        <v>28</v>
      </c>
      <c r="F113" s="5">
        <v>2</v>
      </c>
      <c r="G113" s="5">
        <v>2</v>
      </c>
      <c r="H113" s="34">
        <f>R13</f>
        <v>467</v>
      </c>
      <c r="I113" s="16">
        <f t="shared" si="9"/>
        <v>0.93</v>
      </c>
      <c r="J113" s="16"/>
      <c r="K113" s="16"/>
      <c r="L113" s="16"/>
      <c r="M113" s="16"/>
      <c r="N113" s="44"/>
      <c r="O113" s="153"/>
    </row>
    <row r="114" spans="2:15" ht="14.25">
      <c r="B114" s="5"/>
      <c r="C114" s="25"/>
      <c r="D114" s="28"/>
      <c r="E114" s="28" t="s">
        <v>8</v>
      </c>
      <c r="F114" s="5">
        <v>13</v>
      </c>
      <c r="G114" s="5">
        <v>11</v>
      </c>
      <c r="H114" s="34">
        <f>R24</f>
        <v>60</v>
      </c>
      <c r="I114" s="16">
        <f t="shared" si="9"/>
        <v>0.78</v>
      </c>
      <c r="J114" s="16"/>
      <c r="K114" s="16"/>
      <c r="L114" s="16"/>
      <c r="M114" s="16"/>
      <c r="N114" s="44"/>
      <c r="O114" s="153"/>
    </row>
    <row r="115" spans="2:15" ht="14.25">
      <c r="B115" s="5"/>
      <c r="C115" s="25"/>
      <c r="D115" s="28"/>
      <c r="E115" s="28" t="s">
        <v>6</v>
      </c>
      <c r="F115" s="5">
        <v>11</v>
      </c>
      <c r="G115" s="5">
        <v>10</v>
      </c>
      <c r="H115" s="34">
        <f>R23</f>
        <v>49</v>
      </c>
      <c r="I115" s="16">
        <f t="shared" si="9"/>
        <v>0.54</v>
      </c>
      <c r="J115" s="16"/>
      <c r="K115" s="16"/>
      <c r="L115" s="16"/>
      <c r="M115" s="16"/>
      <c r="N115" s="44"/>
      <c r="O115" s="153"/>
    </row>
    <row r="116" spans="2:15" ht="14.25">
      <c r="B116" s="5"/>
      <c r="C116" s="25"/>
      <c r="D116" s="28"/>
      <c r="E116" s="28" t="s">
        <v>26</v>
      </c>
      <c r="F116" s="5">
        <v>2</v>
      </c>
      <c r="G116" s="5">
        <v>2</v>
      </c>
      <c r="H116" s="34">
        <f>R36</f>
        <v>145</v>
      </c>
      <c r="I116" s="16">
        <f t="shared" si="9"/>
        <v>0.29</v>
      </c>
      <c r="J116" s="16"/>
      <c r="K116" s="16"/>
      <c r="L116" s="16"/>
      <c r="M116" s="16"/>
      <c r="N116" s="44"/>
      <c r="O116" s="153"/>
    </row>
    <row r="117" spans="2:15" ht="14.25">
      <c r="B117" s="5"/>
      <c r="C117" s="25"/>
      <c r="D117" s="28"/>
      <c r="E117" s="28" t="s">
        <v>74</v>
      </c>
      <c r="F117" s="5">
        <v>13</v>
      </c>
      <c r="G117" s="5">
        <v>13</v>
      </c>
      <c r="H117" s="34">
        <f>R39</f>
        <v>40</v>
      </c>
      <c r="I117" s="16">
        <f t="shared" si="9"/>
        <v>0.52</v>
      </c>
      <c r="J117" s="16"/>
      <c r="K117" s="16"/>
      <c r="L117" s="16"/>
      <c r="M117" s="16"/>
      <c r="N117" s="44"/>
      <c r="O117" s="153"/>
    </row>
    <row r="118" spans="2:15" ht="14.25">
      <c r="B118" s="5"/>
      <c r="C118" s="25"/>
      <c r="D118" s="28"/>
      <c r="E118" s="28" t="s">
        <v>11</v>
      </c>
      <c r="F118" s="5">
        <v>0.2</v>
      </c>
      <c r="G118" s="5">
        <v>0.2</v>
      </c>
      <c r="H118" s="76">
        <f>R5</f>
        <v>13.5</v>
      </c>
      <c r="I118" s="16">
        <f>H118*F118</f>
        <v>2.7</v>
      </c>
      <c r="J118" s="16">
        <v>3.38</v>
      </c>
      <c r="K118" s="16">
        <v>4.48</v>
      </c>
      <c r="L118" s="16">
        <v>22.48</v>
      </c>
      <c r="M118" s="16">
        <v>143.76</v>
      </c>
      <c r="N118" s="174">
        <v>42</v>
      </c>
      <c r="O118" s="153">
        <f>(J118+L118)*4+K118*9</f>
        <v>143.76</v>
      </c>
    </row>
    <row r="119" spans="2:15" ht="14.25">
      <c r="B119" s="15">
        <v>2</v>
      </c>
      <c r="C119" s="31" t="s">
        <v>127</v>
      </c>
      <c r="D119" s="34" t="s">
        <v>225</v>
      </c>
      <c r="E119" s="5" t="s">
        <v>128</v>
      </c>
      <c r="F119" s="5">
        <v>116</v>
      </c>
      <c r="G119" s="5">
        <v>109</v>
      </c>
      <c r="H119" s="5">
        <f>R7</f>
        <v>292</v>
      </c>
      <c r="I119" s="16">
        <f>F119*H119/1000</f>
        <v>33.87</v>
      </c>
      <c r="J119" s="16"/>
      <c r="K119" s="16"/>
      <c r="L119" s="16"/>
      <c r="M119" s="16"/>
      <c r="N119" s="44"/>
      <c r="O119" s="153"/>
    </row>
    <row r="120" spans="2:15" ht="14.25">
      <c r="B120" s="15"/>
      <c r="C120" s="31"/>
      <c r="D120" s="5"/>
      <c r="E120" s="8" t="s">
        <v>9</v>
      </c>
      <c r="F120" s="5">
        <v>11</v>
      </c>
      <c r="G120" s="5">
        <v>11</v>
      </c>
      <c r="H120" s="5">
        <f>R14</f>
        <v>199</v>
      </c>
      <c r="I120" s="16">
        <f>F120*H120/1000</f>
        <v>2.19</v>
      </c>
      <c r="J120" s="16"/>
      <c r="K120" s="16"/>
      <c r="L120" s="16"/>
      <c r="M120" s="16"/>
      <c r="N120" s="44"/>
      <c r="O120" s="153"/>
    </row>
    <row r="121" spans="2:15" ht="14.25">
      <c r="B121" s="15"/>
      <c r="C121" s="31"/>
      <c r="D121" s="5"/>
      <c r="E121" s="8" t="s">
        <v>74</v>
      </c>
      <c r="F121" s="5">
        <v>5</v>
      </c>
      <c r="G121" s="5">
        <v>5</v>
      </c>
      <c r="H121" s="5">
        <f>R39</f>
        <v>40</v>
      </c>
      <c r="I121" s="16">
        <f>F121*H121/1000</f>
        <v>0.2</v>
      </c>
      <c r="J121" s="16"/>
      <c r="K121" s="16"/>
      <c r="L121" s="16"/>
      <c r="M121" s="16"/>
      <c r="N121" s="44"/>
      <c r="O121" s="153"/>
    </row>
    <row r="122" spans="2:16" ht="14.25">
      <c r="B122" s="15"/>
      <c r="C122" s="31"/>
      <c r="D122" s="5"/>
      <c r="E122" s="8" t="s">
        <v>27</v>
      </c>
      <c r="F122" s="5">
        <v>5</v>
      </c>
      <c r="G122" s="5">
        <v>5</v>
      </c>
      <c r="H122" s="44">
        <f>R29</f>
        <v>142</v>
      </c>
      <c r="I122" s="16">
        <f aca="true" t="shared" si="10" ref="I122:I128">H122*F122/1000</f>
        <v>0.71</v>
      </c>
      <c r="J122" s="191">
        <v>19.88</v>
      </c>
      <c r="K122" s="191">
        <v>23.97</v>
      </c>
      <c r="L122" s="191">
        <v>4.82</v>
      </c>
      <c r="M122" s="191">
        <v>314.53</v>
      </c>
      <c r="N122" s="234">
        <v>703</v>
      </c>
      <c r="O122" s="153">
        <f>(J122+L122)*4+K122*9</f>
        <v>314.53</v>
      </c>
      <c r="P122" s="45"/>
    </row>
    <row r="123" spans="2:15" ht="14.25">
      <c r="B123" s="15">
        <v>3</v>
      </c>
      <c r="C123" s="133" t="s">
        <v>215</v>
      </c>
      <c r="D123" s="5">
        <v>150</v>
      </c>
      <c r="E123" s="8" t="s">
        <v>1</v>
      </c>
      <c r="F123" s="5">
        <v>54</v>
      </c>
      <c r="G123" s="5">
        <v>54</v>
      </c>
      <c r="H123" s="34">
        <f>R43</f>
        <v>116</v>
      </c>
      <c r="I123" s="16">
        <f t="shared" si="10"/>
        <v>6.26</v>
      </c>
      <c r="J123" s="16"/>
      <c r="K123" s="16"/>
      <c r="L123" s="16"/>
      <c r="M123" s="16"/>
      <c r="N123" s="44"/>
      <c r="O123" s="153"/>
    </row>
    <row r="124" spans="2:15" ht="14.25">
      <c r="B124" s="15"/>
      <c r="C124" s="31"/>
      <c r="D124" s="5"/>
      <c r="E124" s="8" t="s">
        <v>28</v>
      </c>
      <c r="F124" s="5">
        <v>5</v>
      </c>
      <c r="G124" s="5">
        <v>5</v>
      </c>
      <c r="H124" s="34">
        <f>R13</f>
        <v>467</v>
      </c>
      <c r="I124" s="16">
        <f t="shared" si="10"/>
        <v>2.34</v>
      </c>
      <c r="J124" s="191">
        <v>3.84</v>
      </c>
      <c r="K124" s="189">
        <v>6.46</v>
      </c>
      <c r="L124" s="189">
        <v>38.63</v>
      </c>
      <c r="M124" s="189">
        <v>228.02</v>
      </c>
      <c r="N124" s="190">
        <v>747</v>
      </c>
      <c r="O124" s="153">
        <f>(J124+L124)*4+K124*9</f>
        <v>228.02</v>
      </c>
    </row>
    <row r="125" spans="2:15" ht="14.25">
      <c r="B125" s="15">
        <v>4</v>
      </c>
      <c r="C125" s="31" t="s">
        <v>156</v>
      </c>
      <c r="D125" s="5">
        <v>60</v>
      </c>
      <c r="E125" s="8" t="s">
        <v>15</v>
      </c>
      <c r="F125" s="5">
        <v>46</v>
      </c>
      <c r="G125" s="5">
        <v>34</v>
      </c>
      <c r="H125" s="34">
        <f>R25</f>
        <v>51</v>
      </c>
      <c r="I125" s="16">
        <f t="shared" si="10"/>
        <v>2.35</v>
      </c>
      <c r="J125" s="191"/>
      <c r="K125" s="189"/>
      <c r="L125" s="189"/>
      <c r="M125" s="189"/>
      <c r="N125" s="190"/>
      <c r="O125" s="153"/>
    </row>
    <row r="126" spans="2:15" ht="14.25">
      <c r="B126" s="15"/>
      <c r="C126" s="31"/>
      <c r="D126" s="5"/>
      <c r="E126" s="8" t="s">
        <v>155</v>
      </c>
      <c r="F126" s="5">
        <v>36</v>
      </c>
      <c r="G126" s="5">
        <v>33</v>
      </c>
      <c r="H126" s="34">
        <f>R28</f>
        <v>123</v>
      </c>
      <c r="I126" s="16">
        <f t="shared" si="10"/>
        <v>4.43</v>
      </c>
      <c r="J126" s="191"/>
      <c r="K126" s="189"/>
      <c r="L126" s="189"/>
      <c r="M126" s="189"/>
      <c r="N126" s="190"/>
      <c r="O126" s="153"/>
    </row>
    <row r="127" spans="2:15" ht="14.25">
      <c r="B127" s="15"/>
      <c r="C127" s="31"/>
      <c r="D127" s="5"/>
      <c r="E127" s="8" t="s">
        <v>6</v>
      </c>
      <c r="F127" s="5">
        <v>5</v>
      </c>
      <c r="G127" s="5">
        <v>3</v>
      </c>
      <c r="H127" s="34">
        <f>R23</f>
        <v>49</v>
      </c>
      <c r="I127" s="16">
        <f t="shared" si="10"/>
        <v>0.25</v>
      </c>
      <c r="J127" s="191"/>
      <c r="K127" s="189"/>
      <c r="L127" s="189"/>
      <c r="M127" s="189"/>
      <c r="N127" s="190"/>
      <c r="O127" s="153"/>
    </row>
    <row r="128" spans="2:15" ht="14.25">
      <c r="B128" s="15"/>
      <c r="C128" s="31"/>
      <c r="D128" s="5"/>
      <c r="E128" s="8" t="s">
        <v>26</v>
      </c>
      <c r="F128" s="5">
        <v>4</v>
      </c>
      <c r="G128" s="5">
        <v>4</v>
      </c>
      <c r="H128" s="34">
        <f>R36</f>
        <v>145</v>
      </c>
      <c r="I128" s="16">
        <f t="shared" si="10"/>
        <v>0.58</v>
      </c>
      <c r="J128" s="191">
        <v>1</v>
      </c>
      <c r="K128" s="191">
        <v>2.5</v>
      </c>
      <c r="L128" s="191">
        <v>4.92</v>
      </c>
      <c r="M128" s="189">
        <v>46.18</v>
      </c>
      <c r="N128" s="190">
        <v>34</v>
      </c>
      <c r="O128" s="153">
        <f>(J128+L128)*4+K128*9</f>
        <v>46.18</v>
      </c>
    </row>
    <row r="129" spans="2:15" ht="14.25">
      <c r="B129" s="15">
        <v>5</v>
      </c>
      <c r="C129" s="14" t="s">
        <v>35</v>
      </c>
      <c r="D129" s="5">
        <v>50</v>
      </c>
      <c r="E129" s="5" t="s">
        <v>19</v>
      </c>
      <c r="F129" s="5">
        <v>50</v>
      </c>
      <c r="G129" s="5">
        <v>50</v>
      </c>
      <c r="H129" s="5">
        <f>R60</f>
        <v>48</v>
      </c>
      <c r="I129" s="16">
        <f aca="true" t="shared" si="11" ref="I129:I134">F129*H129/1000</f>
        <v>2.4</v>
      </c>
      <c r="J129" s="189">
        <v>3.06</v>
      </c>
      <c r="K129" s="189">
        <v>9.54</v>
      </c>
      <c r="L129" s="189">
        <v>18.28</v>
      </c>
      <c r="M129" s="189">
        <f>(J129+L129)*4+K129*9</f>
        <v>171.22</v>
      </c>
      <c r="N129" s="190"/>
      <c r="O129" s="153">
        <f>(J129+L129)*4+K129*9</f>
        <v>171.22</v>
      </c>
    </row>
    <row r="130" spans="2:15" ht="14.25">
      <c r="B130" s="5">
        <v>6</v>
      </c>
      <c r="C130" s="14" t="s">
        <v>25</v>
      </c>
      <c r="D130" s="5">
        <v>200</v>
      </c>
      <c r="E130" s="5" t="s">
        <v>20</v>
      </c>
      <c r="F130" s="5">
        <v>14</v>
      </c>
      <c r="G130" s="5">
        <v>14</v>
      </c>
      <c r="H130" s="5">
        <f>R32</f>
        <v>140</v>
      </c>
      <c r="I130" s="29">
        <f t="shared" si="11"/>
        <v>1.96</v>
      </c>
      <c r="J130" s="189"/>
      <c r="K130" s="189"/>
      <c r="L130" s="189"/>
      <c r="M130" s="189"/>
      <c r="N130" s="190"/>
      <c r="O130" s="153"/>
    </row>
    <row r="131" spans="2:15" ht="14.25">
      <c r="B131" s="15"/>
      <c r="C131" s="14"/>
      <c r="D131" s="5"/>
      <c r="E131" s="5" t="s">
        <v>2</v>
      </c>
      <c r="F131" s="5">
        <v>13</v>
      </c>
      <c r="G131" s="5">
        <v>13</v>
      </c>
      <c r="H131" s="5">
        <f>R50</f>
        <v>85</v>
      </c>
      <c r="I131" s="29">
        <f t="shared" si="11"/>
        <v>1.11</v>
      </c>
      <c r="J131" s="192">
        <v>0.04</v>
      </c>
      <c r="K131" s="192">
        <v>0</v>
      </c>
      <c r="L131" s="192">
        <v>24.76</v>
      </c>
      <c r="M131" s="189">
        <f>(J131+L131)*4+K131*9</f>
        <v>99.2</v>
      </c>
      <c r="N131" s="190">
        <v>349</v>
      </c>
      <c r="O131" s="153">
        <f>(J131+L131)*4+K131*9</f>
        <v>99.2</v>
      </c>
    </row>
    <row r="132" spans="2:15" ht="14.25">
      <c r="B132" s="15">
        <v>7</v>
      </c>
      <c r="C132" s="187" t="s">
        <v>131</v>
      </c>
      <c r="D132" s="5">
        <v>100</v>
      </c>
      <c r="E132" s="5" t="s">
        <v>132</v>
      </c>
      <c r="F132" s="5">
        <v>100</v>
      </c>
      <c r="G132" s="5"/>
      <c r="H132" s="5">
        <f>R30</f>
        <v>110</v>
      </c>
      <c r="I132" s="29">
        <f t="shared" si="11"/>
        <v>11</v>
      </c>
      <c r="J132" s="189">
        <v>0.4</v>
      </c>
      <c r="K132" s="189">
        <v>0.4</v>
      </c>
      <c r="L132" s="189">
        <v>9.8</v>
      </c>
      <c r="M132" s="189">
        <v>44.4</v>
      </c>
      <c r="N132" s="190">
        <v>368</v>
      </c>
      <c r="O132" s="153">
        <f>(J132+L132)*4+K132*9</f>
        <v>44.4</v>
      </c>
    </row>
    <row r="133" spans="2:15" ht="14.25">
      <c r="B133" s="15"/>
      <c r="C133" s="5"/>
      <c r="D133" s="5"/>
      <c r="E133" s="5" t="s">
        <v>159</v>
      </c>
      <c r="F133" s="5">
        <v>4</v>
      </c>
      <c r="G133" s="5">
        <v>4</v>
      </c>
      <c r="H133" s="5">
        <f>R54</f>
        <v>27</v>
      </c>
      <c r="I133" s="29">
        <f t="shared" si="11"/>
        <v>0.11</v>
      </c>
      <c r="J133" s="16"/>
      <c r="K133" s="16"/>
      <c r="L133" s="16"/>
      <c r="M133" s="16"/>
      <c r="N133" s="44"/>
      <c r="O133" s="153"/>
    </row>
    <row r="134" spans="2:15" ht="14.25">
      <c r="B134" s="15"/>
      <c r="C134" s="5"/>
      <c r="D134" s="5"/>
      <c r="E134" s="5" t="s">
        <v>93</v>
      </c>
      <c r="F134" s="5">
        <v>0.02</v>
      </c>
      <c r="G134" s="5">
        <v>0.02</v>
      </c>
      <c r="H134" s="5">
        <f>R59</f>
        <v>617</v>
      </c>
      <c r="I134" s="29">
        <f t="shared" si="11"/>
        <v>0.01</v>
      </c>
      <c r="J134" s="16"/>
      <c r="K134" s="16"/>
      <c r="L134" s="16"/>
      <c r="M134" s="16"/>
      <c r="N134" s="44"/>
      <c r="O134" s="153"/>
    </row>
    <row r="135" spans="2:15" ht="15">
      <c r="B135" s="15"/>
      <c r="C135" s="5"/>
      <c r="D135" s="195">
        <v>940</v>
      </c>
      <c r="E135" s="5"/>
      <c r="F135" s="5"/>
      <c r="G135" s="5"/>
      <c r="H135" s="34"/>
      <c r="I135" s="68">
        <f>SUM(I112:I134)</f>
        <v>79.8</v>
      </c>
      <c r="J135" s="68">
        <f>SUM(J112:J134)</f>
        <v>31.6</v>
      </c>
      <c r="K135" s="68">
        <f>SUM(K112:K134)</f>
        <v>47.35</v>
      </c>
      <c r="L135" s="68">
        <f>SUM(L112:L134)</f>
        <v>123.69</v>
      </c>
      <c r="M135" s="68">
        <f>SUM(M112:M134)</f>
        <v>1047.31</v>
      </c>
      <c r="N135" s="144"/>
      <c r="O135" s="153">
        <f>(J135+L135)*4+K135*9</f>
        <v>1047.31</v>
      </c>
    </row>
    <row r="136" spans="2:15" ht="15">
      <c r="B136" s="27"/>
      <c r="C136" s="73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159"/>
      <c r="O136" s="153"/>
    </row>
    <row r="137" spans="2:15" s="70" customFormat="1" ht="15">
      <c r="B137" s="212"/>
      <c r="C137" s="73" t="s">
        <v>69</v>
      </c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159"/>
      <c r="O137" s="184"/>
    </row>
    <row r="138" spans="2:15" ht="28.5">
      <c r="B138" s="253" t="s">
        <v>3</v>
      </c>
      <c r="C138" s="3"/>
      <c r="D138" s="8" t="s">
        <v>4</v>
      </c>
      <c r="E138" s="253" t="s">
        <v>29</v>
      </c>
      <c r="F138" s="96" t="s">
        <v>12</v>
      </c>
      <c r="G138" s="96" t="s">
        <v>57</v>
      </c>
      <c r="H138" s="96" t="s">
        <v>30</v>
      </c>
      <c r="I138" s="96" t="s">
        <v>31</v>
      </c>
      <c r="J138" s="252" t="s">
        <v>70</v>
      </c>
      <c r="K138" s="252" t="s">
        <v>71</v>
      </c>
      <c r="L138" s="252" t="s">
        <v>72</v>
      </c>
      <c r="M138" s="252" t="s">
        <v>73</v>
      </c>
      <c r="N138" s="250" t="s">
        <v>144</v>
      </c>
      <c r="O138" s="153"/>
    </row>
    <row r="139" spans="2:15" ht="15">
      <c r="B139" s="257"/>
      <c r="C139" s="71" t="s">
        <v>138</v>
      </c>
      <c r="D139" s="8" t="s">
        <v>32</v>
      </c>
      <c r="E139" s="255"/>
      <c r="F139" s="5" t="s">
        <v>32</v>
      </c>
      <c r="G139" s="57" t="s">
        <v>32</v>
      </c>
      <c r="H139" s="57" t="s">
        <v>33</v>
      </c>
      <c r="I139" s="28" t="s">
        <v>34</v>
      </c>
      <c r="J139" s="251"/>
      <c r="K139" s="251"/>
      <c r="L139" s="251"/>
      <c r="M139" s="251"/>
      <c r="N139" s="251"/>
      <c r="O139" s="153"/>
    </row>
    <row r="140" spans="2:15" ht="14.25">
      <c r="B140" s="135">
        <v>1</v>
      </c>
      <c r="C140" s="207" t="s">
        <v>206</v>
      </c>
      <c r="D140" s="5">
        <v>100</v>
      </c>
      <c r="E140" s="33" t="s">
        <v>78</v>
      </c>
      <c r="F140" s="33">
        <v>91</v>
      </c>
      <c r="G140" s="33">
        <v>79</v>
      </c>
      <c r="H140" s="174">
        <f>R37</f>
        <v>210</v>
      </c>
      <c r="I140" s="16">
        <f aca="true" t="shared" si="12" ref="I140:I156">F140*H140/1000</f>
        <v>19.11</v>
      </c>
      <c r="J140" s="16"/>
      <c r="K140" s="16"/>
      <c r="L140" s="16"/>
      <c r="M140" s="16"/>
      <c r="N140" s="44"/>
      <c r="O140" s="153"/>
    </row>
    <row r="141" spans="2:15" ht="14.25">
      <c r="B141" s="135"/>
      <c r="C141" s="14"/>
      <c r="D141" s="15"/>
      <c r="E141" s="33" t="s">
        <v>6</v>
      </c>
      <c r="F141" s="33">
        <v>24</v>
      </c>
      <c r="G141" s="58">
        <v>22</v>
      </c>
      <c r="H141" s="5">
        <f>R23</f>
        <v>49</v>
      </c>
      <c r="I141" s="16">
        <f t="shared" si="12"/>
        <v>1.18</v>
      </c>
      <c r="J141" s="16"/>
      <c r="K141" s="16"/>
      <c r="L141" s="16"/>
      <c r="M141" s="16"/>
      <c r="N141" s="44"/>
      <c r="O141" s="153"/>
    </row>
    <row r="142" spans="2:15" ht="14.25">
      <c r="B142" s="135"/>
      <c r="C142" s="14"/>
      <c r="D142" s="15"/>
      <c r="E142" s="33" t="s">
        <v>23</v>
      </c>
      <c r="F142" s="33">
        <v>19</v>
      </c>
      <c r="G142" s="58">
        <v>19</v>
      </c>
      <c r="H142" s="5">
        <f>R16</f>
        <v>543</v>
      </c>
      <c r="I142" s="16">
        <f t="shared" si="12"/>
        <v>10.32</v>
      </c>
      <c r="J142" s="16"/>
      <c r="K142" s="16"/>
      <c r="L142" s="16"/>
      <c r="M142" s="16"/>
      <c r="N142" s="44"/>
      <c r="O142" s="153"/>
    </row>
    <row r="143" spans="2:15" ht="14.25">
      <c r="B143" s="135"/>
      <c r="C143" s="14"/>
      <c r="D143" s="15"/>
      <c r="E143" s="33" t="s">
        <v>26</v>
      </c>
      <c r="F143" s="33">
        <v>6</v>
      </c>
      <c r="G143" s="58">
        <v>6</v>
      </c>
      <c r="H143" s="5">
        <f>R36</f>
        <v>145</v>
      </c>
      <c r="I143" s="16">
        <f t="shared" si="12"/>
        <v>0.87</v>
      </c>
      <c r="J143" s="16">
        <v>16.13</v>
      </c>
      <c r="K143" s="16">
        <v>11.13</v>
      </c>
      <c r="L143" s="16">
        <v>2.88</v>
      </c>
      <c r="M143" s="16">
        <v>176.21</v>
      </c>
      <c r="N143" s="44"/>
      <c r="O143" s="153">
        <f>(J143+L143)*4+K143*9</f>
        <v>176.21</v>
      </c>
    </row>
    <row r="144" spans="2:15" ht="14.25">
      <c r="B144" s="135">
        <v>2</v>
      </c>
      <c r="C144" s="207" t="s">
        <v>213</v>
      </c>
      <c r="D144" s="5">
        <v>150</v>
      </c>
      <c r="E144" s="8" t="s">
        <v>7</v>
      </c>
      <c r="F144" s="5">
        <v>290</v>
      </c>
      <c r="G144" s="5">
        <v>218</v>
      </c>
      <c r="H144" s="5">
        <f>R21</f>
        <v>54</v>
      </c>
      <c r="I144" s="16">
        <f t="shared" si="12"/>
        <v>15.66</v>
      </c>
      <c r="J144" s="16"/>
      <c r="K144" s="16"/>
      <c r="L144" s="16"/>
      <c r="M144" s="16"/>
      <c r="N144" s="167"/>
      <c r="O144" s="153"/>
    </row>
    <row r="145" spans="2:15" ht="14.25">
      <c r="B145" s="135"/>
      <c r="C145" s="14"/>
      <c r="D145" s="5"/>
      <c r="E145" s="8" t="s">
        <v>26</v>
      </c>
      <c r="F145" s="5">
        <v>5</v>
      </c>
      <c r="G145" s="5">
        <v>5</v>
      </c>
      <c r="H145" s="5">
        <f>R36</f>
        <v>145</v>
      </c>
      <c r="I145" s="16">
        <f t="shared" si="12"/>
        <v>0.73</v>
      </c>
      <c r="J145" s="210">
        <v>5.1</v>
      </c>
      <c r="K145" s="210">
        <v>6.45</v>
      </c>
      <c r="L145" s="210">
        <v>40.35</v>
      </c>
      <c r="M145" s="210">
        <v>239.85</v>
      </c>
      <c r="N145" s="174"/>
      <c r="O145" s="153">
        <f>(J145+L145)*4+K145*9</f>
        <v>239.85</v>
      </c>
    </row>
    <row r="146" spans="2:15" ht="14.25">
      <c r="B146" s="135">
        <v>3</v>
      </c>
      <c r="C146" s="14" t="s">
        <v>226</v>
      </c>
      <c r="D146" s="5">
        <v>60</v>
      </c>
      <c r="E146" s="8" t="s">
        <v>7</v>
      </c>
      <c r="F146" s="5">
        <v>24</v>
      </c>
      <c r="G146" s="5">
        <v>18</v>
      </c>
      <c r="H146" s="5">
        <f>R21</f>
        <v>54</v>
      </c>
      <c r="I146" s="16">
        <f t="shared" si="12"/>
        <v>1.3</v>
      </c>
      <c r="J146" s="210"/>
      <c r="K146" s="210"/>
      <c r="L146" s="210"/>
      <c r="M146" s="210"/>
      <c r="N146" s="174"/>
      <c r="O146" s="153"/>
    </row>
    <row r="147" spans="2:15" ht="14.25">
      <c r="B147" s="135"/>
      <c r="C147" s="14"/>
      <c r="D147" s="5"/>
      <c r="E147" s="8" t="s">
        <v>15</v>
      </c>
      <c r="F147" s="5">
        <v>17</v>
      </c>
      <c r="G147" s="5">
        <v>13</v>
      </c>
      <c r="H147" s="5">
        <f>R25</f>
        <v>51</v>
      </c>
      <c r="I147" s="16">
        <f t="shared" si="12"/>
        <v>0.87</v>
      </c>
      <c r="J147" s="210"/>
      <c r="K147" s="210"/>
      <c r="L147" s="210"/>
      <c r="M147" s="210"/>
      <c r="N147" s="174"/>
      <c r="O147" s="153"/>
    </row>
    <row r="148" spans="2:15" ht="14.25">
      <c r="B148" s="135"/>
      <c r="C148" s="14"/>
      <c r="D148" s="5"/>
      <c r="E148" s="8" t="s">
        <v>8</v>
      </c>
      <c r="F148" s="5">
        <v>8</v>
      </c>
      <c r="G148" s="5">
        <v>6</v>
      </c>
      <c r="H148" s="5">
        <f>R24</f>
        <v>60</v>
      </c>
      <c r="I148" s="16">
        <f t="shared" si="12"/>
        <v>0.48</v>
      </c>
      <c r="J148" s="210"/>
      <c r="K148" s="210"/>
      <c r="L148" s="210"/>
      <c r="M148" s="210"/>
      <c r="N148" s="174"/>
      <c r="O148" s="153"/>
    </row>
    <row r="149" spans="2:15" ht="14.25">
      <c r="B149" s="135"/>
      <c r="C149" s="14"/>
      <c r="D149" s="5"/>
      <c r="E149" s="8" t="s">
        <v>98</v>
      </c>
      <c r="F149" s="5">
        <v>22</v>
      </c>
      <c r="G149" s="5">
        <v>14</v>
      </c>
      <c r="H149" s="5">
        <f>R26</f>
        <v>74</v>
      </c>
      <c r="I149" s="16">
        <f t="shared" si="12"/>
        <v>1.63</v>
      </c>
      <c r="J149" s="210"/>
      <c r="K149" s="210"/>
      <c r="L149" s="210"/>
      <c r="M149" s="210"/>
      <c r="N149" s="174"/>
      <c r="O149" s="153"/>
    </row>
    <row r="150" spans="2:15" ht="14.25">
      <c r="B150" s="135"/>
      <c r="C150" s="14"/>
      <c r="D150" s="5"/>
      <c r="E150" s="8" t="s">
        <v>158</v>
      </c>
      <c r="F150" s="5">
        <v>20</v>
      </c>
      <c r="G150" s="5">
        <v>16</v>
      </c>
      <c r="H150" s="5">
        <f>R28</f>
        <v>123</v>
      </c>
      <c r="I150" s="16">
        <f t="shared" si="12"/>
        <v>2.46</v>
      </c>
      <c r="J150" s="210"/>
      <c r="K150" s="210"/>
      <c r="L150" s="210"/>
      <c r="M150" s="210"/>
      <c r="N150" s="174"/>
      <c r="O150" s="153"/>
    </row>
    <row r="151" spans="2:15" ht="14.25">
      <c r="B151" s="135"/>
      <c r="C151" s="14"/>
      <c r="D151" s="5"/>
      <c r="E151" s="8" t="s">
        <v>6</v>
      </c>
      <c r="F151" s="5">
        <v>11</v>
      </c>
      <c r="G151" s="5">
        <v>9</v>
      </c>
      <c r="H151" s="5">
        <f>R23</f>
        <v>49</v>
      </c>
      <c r="I151" s="16">
        <f t="shared" si="12"/>
        <v>0.54</v>
      </c>
      <c r="J151" s="210"/>
      <c r="K151" s="210"/>
      <c r="L151" s="210"/>
      <c r="M151" s="210"/>
      <c r="N151" s="174"/>
      <c r="O151" s="153"/>
    </row>
    <row r="152" spans="2:15" ht="14.25">
      <c r="B152" s="135"/>
      <c r="C152" s="14"/>
      <c r="D152" s="5"/>
      <c r="E152" s="8" t="s">
        <v>26</v>
      </c>
      <c r="F152" s="5">
        <v>4</v>
      </c>
      <c r="G152" s="5">
        <v>4</v>
      </c>
      <c r="H152" s="5">
        <f>R36</f>
        <v>145</v>
      </c>
      <c r="I152" s="16">
        <f t="shared" si="12"/>
        <v>0.58</v>
      </c>
      <c r="J152" s="210">
        <v>1.42</v>
      </c>
      <c r="K152" s="210">
        <v>3.71</v>
      </c>
      <c r="L152" s="210">
        <v>6.44</v>
      </c>
      <c r="M152" s="210">
        <v>64.83</v>
      </c>
      <c r="N152" s="174">
        <v>103</v>
      </c>
      <c r="O152" s="153">
        <f>(J152+L152)*4+K152*9</f>
        <v>64.83</v>
      </c>
    </row>
    <row r="153" spans="2:15" ht="14.25">
      <c r="B153" s="34">
        <v>4</v>
      </c>
      <c r="C153" s="133" t="s">
        <v>35</v>
      </c>
      <c r="D153" s="34">
        <v>50</v>
      </c>
      <c r="E153" s="34" t="s">
        <v>19</v>
      </c>
      <c r="F153" s="5">
        <v>50</v>
      </c>
      <c r="G153" s="5">
        <v>50</v>
      </c>
      <c r="H153" s="5">
        <f>R60</f>
        <v>48</v>
      </c>
      <c r="I153" s="16">
        <f t="shared" si="12"/>
        <v>2.4</v>
      </c>
      <c r="J153" s="189">
        <v>3.06</v>
      </c>
      <c r="K153" s="189">
        <v>9.54</v>
      </c>
      <c r="L153" s="189">
        <v>18.28</v>
      </c>
      <c r="M153" s="189">
        <f>(J153+L153)*4+K153*9</f>
        <v>171.22</v>
      </c>
      <c r="N153" s="190"/>
      <c r="O153" s="153">
        <f>(J153+L153)*4+K153*9</f>
        <v>171.22</v>
      </c>
    </row>
    <row r="154" spans="2:15" s="70" customFormat="1" ht="14.25">
      <c r="B154" s="34">
        <v>5</v>
      </c>
      <c r="C154" s="133" t="s">
        <v>203</v>
      </c>
      <c r="D154" s="34">
        <v>200</v>
      </c>
      <c r="E154" s="34" t="s">
        <v>204</v>
      </c>
      <c r="F154" s="34">
        <v>200</v>
      </c>
      <c r="G154" s="34">
        <v>200</v>
      </c>
      <c r="H154" s="34">
        <f>R35</f>
        <v>62</v>
      </c>
      <c r="I154" s="76">
        <f t="shared" si="12"/>
        <v>12.4</v>
      </c>
      <c r="J154" s="76">
        <v>1.04</v>
      </c>
      <c r="K154" s="76">
        <v>0</v>
      </c>
      <c r="L154" s="76">
        <v>24</v>
      </c>
      <c r="M154" s="76">
        <v>100.16</v>
      </c>
      <c r="N154" s="44"/>
      <c r="O154" s="184">
        <f>(J154+L154)*4+K154*9</f>
        <v>100.16</v>
      </c>
    </row>
    <row r="155" spans="2:15" ht="14.25">
      <c r="B155" s="34">
        <v>6</v>
      </c>
      <c r="C155" s="187" t="s">
        <v>201</v>
      </c>
      <c r="D155" s="34">
        <v>60</v>
      </c>
      <c r="E155" s="34" t="s">
        <v>202</v>
      </c>
      <c r="F155" s="5">
        <v>60</v>
      </c>
      <c r="G155" s="5">
        <v>60</v>
      </c>
      <c r="H155" s="5">
        <f>R64</f>
        <v>153</v>
      </c>
      <c r="I155" s="16">
        <f t="shared" si="12"/>
        <v>9.18</v>
      </c>
      <c r="J155" s="76">
        <v>3.54</v>
      </c>
      <c r="K155" s="76">
        <v>2.82</v>
      </c>
      <c r="L155" s="76">
        <v>45</v>
      </c>
      <c r="M155" s="76">
        <v>219.54</v>
      </c>
      <c r="N155" s="190">
        <v>368</v>
      </c>
      <c r="O155" s="153">
        <f>(J155+L155)*4+K155*9</f>
        <v>219.54</v>
      </c>
    </row>
    <row r="156" spans="2:15" ht="14.25">
      <c r="B156" s="34"/>
      <c r="C156" s="133"/>
      <c r="D156" s="34"/>
      <c r="E156" s="34" t="s">
        <v>159</v>
      </c>
      <c r="F156" s="5">
        <v>3.5</v>
      </c>
      <c r="G156" s="5">
        <v>3.5</v>
      </c>
      <c r="H156" s="5">
        <f>R54</f>
        <v>27</v>
      </c>
      <c r="I156" s="16">
        <f t="shared" si="12"/>
        <v>0.09</v>
      </c>
      <c r="J156" s="16"/>
      <c r="K156" s="16"/>
      <c r="L156" s="16"/>
      <c r="M156" s="16"/>
      <c r="N156" s="44"/>
      <c r="O156" s="153"/>
    </row>
    <row r="157" spans="2:15" ht="15">
      <c r="B157" s="5"/>
      <c r="C157" s="14"/>
      <c r="D157" s="196">
        <f>SUM(D140:D156)</f>
        <v>620</v>
      </c>
      <c r="E157" s="5"/>
      <c r="F157" s="5"/>
      <c r="G157" s="5"/>
      <c r="H157" s="5"/>
      <c r="I157" s="68">
        <f>SUM(I140:I156)</f>
        <v>79.8</v>
      </c>
      <c r="J157" s="68">
        <f>SUM(J140:J156)</f>
        <v>30.29</v>
      </c>
      <c r="K157" s="68">
        <f>SUM(K140:K156)</f>
        <v>33.65</v>
      </c>
      <c r="L157" s="68">
        <f>SUM(L140:L156)</f>
        <v>136.95</v>
      </c>
      <c r="M157" s="68">
        <f>SUM(M140:M156)</f>
        <v>971.81</v>
      </c>
      <c r="N157" s="144"/>
      <c r="O157" s="153">
        <f>(J157+L157)*4+K157*9</f>
        <v>971.81</v>
      </c>
    </row>
    <row r="158" spans="2:15" s="70" customFormat="1" ht="15">
      <c r="B158" s="34"/>
      <c r="C158" s="219" t="s">
        <v>139</v>
      </c>
      <c r="D158" s="209"/>
      <c r="E158" s="220"/>
      <c r="F158" s="34"/>
      <c r="G158" s="34"/>
      <c r="H158" s="34"/>
      <c r="I158" s="76"/>
      <c r="J158" s="76"/>
      <c r="K158" s="76"/>
      <c r="L158" s="76"/>
      <c r="M158" s="76"/>
      <c r="N158" s="44"/>
      <c r="O158" s="184"/>
    </row>
    <row r="159" spans="2:15" ht="14.25">
      <c r="B159" s="15">
        <v>1</v>
      </c>
      <c r="C159" s="32" t="s">
        <v>94</v>
      </c>
      <c r="D159" s="97" t="s">
        <v>176</v>
      </c>
      <c r="E159" s="28" t="s">
        <v>15</v>
      </c>
      <c r="F159" s="5">
        <v>39</v>
      </c>
      <c r="G159" s="5">
        <v>32</v>
      </c>
      <c r="H159" s="5">
        <f>R25</f>
        <v>51</v>
      </c>
      <c r="I159" s="16">
        <f aca="true" t="shared" si="13" ref="I159:I170">F159*H159/1000</f>
        <v>1.99</v>
      </c>
      <c r="J159" s="16"/>
      <c r="K159" s="16"/>
      <c r="L159" s="16"/>
      <c r="M159" s="16"/>
      <c r="N159" s="44"/>
      <c r="O159" s="153"/>
    </row>
    <row r="160" spans="2:15" ht="14.25">
      <c r="B160" s="15"/>
      <c r="C160" s="32" t="s">
        <v>95</v>
      </c>
      <c r="D160" s="28"/>
      <c r="E160" s="28" t="s">
        <v>17</v>
      </c>
      <c r="F160" s="5">
        <v>20</v>
      </c>
      <c r="G160" s="5">
        <v>16</v>
      </c>
      <c r="H160" s="5">
        <f>R22</f>
        <v>57</v>
      </c>
      <c r="I160" s="16">
        <f t="shared" si="13"/>
        <v>1.14</v>
      </c>
      <c r="J160" s="16"/>
      <c r="K160" s="16"/>
      <c r="L160" s="16"/>
      <c r="M160" s="16"/>
      <c r="N160" s="44"/>
      <c r="O160" s="153"/>
    </row>
    <row r="161" spans="2:15" ht="14.25">
      <c r="B161" s="15"/>
      <c r="C161" s="25"/>
      <c r="D161" s="28"/>
      <c r="E161" s="28" t="s">
        <v>7</v>
      </c>
      <c r="F161" s="5">
        <v>30</v>
      </c>
      <c r="G161" s="5">
        <v>19</v>
      </c>
      <c r="H161" s="5">
        <f>R21</f>
        <v>54</v>
      </c>
      <c r="I161" s="16">
        <f t="shared" si="13"/>
        <v>1.62</v>
      </c>
      <c r="J161" s="16"/>
      <c r="K161" s="16"/>
      <c r="L161" s="16"/>
      <c r="M161" s="16"/>
      <c r="N161" s="44"/>
      <c r="O161" s="153"/>
    </row>
    <row r="162" spans="2:15" ht="14.25">
      <c r="B162" s="15"/>
      <c r="C162" s="25"/>
      <c r="D162" s="28"/>
      <c r="E162" s="28" t="s">
        <v>8</v>
      </c>
      <c r="F162" s="5">
        <v>10</v>
      </c>
      <c r="G162" s="5">
        <v>8</v>
      </c>
      <c r="H162" s="5">
        <f>R24</f>
        <v>60</v>
      </c>
      <c r="I162" s="16">
        <f t="shared" si="13"/>
        <v>0.6</v>
      </c>
      <c r="J162" s="16"/>
      <c r="K162" s="16"/>
      <c r="L162" s="16"/>
      <c r="M162" s="16"/>
      <c r="N162" s="44"/>
      <c r="O162" s="153"/>
    </row>
    <row r="163" spans="2:15" ht="14.25">
      <c r="B163" s="15"/>
      <c r="C163" s="25"/>
      <c r="D163" s="28"/>
      <c r="E163" s="28" t="s">
        <v>6</v>
      </c>
      <c r="F163" s="5">
        <v>10</v>
      </c>
      <c r="G163" s="5">
        <v>9</v>
      </c>
      <c r="H163" s="5">
        <f>R23</f>
        <v>49</v>
      </c>
      <c r="I163" s="16">
        <f t="shared" si="13"/>
        <v>0.49</v>
      </c>
      <c r="J163" s="16"/>
      <c r="K163" s="16"/>
      <c r="L163" s="16"/>
      <c r="M163" s="16"/>
      <c r="N163" s="44"/>
      <c r="O163" s="153"/>
    </row>
    <row r="164" spans="2:15" ht="14.25">
      <c r="B164" s="15"/>
      <c r="C164" s="25"/>
      <c r="D164" s="28"/>
      <c r="E164" s="28" t="s">
        <v>27</v>
      </c>
      <c r="F164" s="5">
        <v>2</v>
      </c>
      <c r="G164" s="5">
        <v>2</v>
      </c>
      <c r="H164" s="5">
        <f>R29</f>
        <v>142</v>
      </c>
      <c r="I164" s="16">
        <f t="shared" si="13"/>
        <v>0.28</v>
      </c>
      <c r="J164" s="16"/>
      <c r="K164" s="16"/>
      <c r="L164" s="16"/>
      <c r="M164" s="16"/>
      <c r="N164" s="44"/>
      <c r="O164" s="153"/>
    </row>
    <row r="165" spans="2:15" ht="13.5" customHeight="1">
      <c r="B165" s="15"/>
      <c r="C165" s="25"/>
      <c r="D165" s="28"/>
      <c r="E165" s="28" t="s">
        <v>26</v>
      </c>
      <c r="F165" s="5">
        <v>4</v>
      </c>
      <c r="G165" s="5">
        <v>4</v>
      </c>
      <c r="H165" s="5">
        <f>R36</f>
        <v>145</v>
      </c>
      <c r="I165" s="16">
        <f t="shared" si="13"/>
        <v>0.58</v>
      </c>
      <c r="J165" s="166">
        <v>2.26</v>
      </c>
      <c r="K165" s="166">
        <v>4.18</v>
      </c>
      <c r="L165" s="166">
        <v>10.2</v>
      </c>
      <c r="M165" s="166">
        <v>87.46</v>
      </c>
      <c r="N165" s="167">
        <v>176</v>
      </c>
      <c r="O165" s="153">
        <f>(J165+L165)*4+K165*9</f>
        <v>87.46</v>
      </c>
    </row>
    <row r="166" spans="2:15" ht="14.25">
      <c r="B166" s="15"/>
      <c r="C166" s="25"/>
      <c r="D166" s="28"/>
      <c r="E166" s="28" t="s">
        <v>9</v>
      </c>
      <c r="F166" s="5">
        <v>10</v>
      </c>
      <c r="G166" s="5">
        <v>10</v>
      </c>
      <c r="H166" s="5">
        <f>R14</f>
        <v>199</v>
      </c>
      <c r="I166" s="16">
        <f t="shared" si="13"/>
        <v>1.99</v>
      </c>
      <c r="J166" s="166">
        <v>0.21</v>
      </c>
      <c r="K166" s="166">
        <v>2.82</v>
      </c>
      <c r="L166" s="166">
        <v>0.31</v>
      </c>
      <c r="M166" s="166">
        <v>27.46</v>
      </c>
      <c r="N166" s="167"/>
      <c r="O166" s="153">
        <f>(J166+L166)*4+K166*9</f>
        <v>27.46</v>
      </c>
    </row>
    <row r="167" spans="2:18" ht="14.25">
      <c r="B167" s="135">
        <v>2</v>
      </c>
      <c r="C167" s="207" t="s">
        <v>206</v>
      </c>
      <c r="D167" s="5">
        <v>100</v>
      </c>
      <c r="E167" s="33" t="s">
        <v>78</v>
      </c>
      <c r="F167" s="33">
        <v>92</v>
      </c>
      <c r="G167" s="33">
        <v>79</v>
      </c>
      <c r="H167" s="5">
        <f>R37</f>
        <v>210</v>
      </c>
      <c r="I167" s="16">
        <f t="shared" si="13"/>
        <v>19.32</v>
      </c>
      <c r="J167" s="16"/>
      <c r="K167" s="16"/>
      <c r="L167" s="16"/>
      <c r="M167" s="16"/>
      <c r="N167" s="44"/>
      <c r="O167" s="153"/>
      <c r="P167" s="20"/>
      <c r="Q167" s="21"/>
      <c r="R167" s="21"/>
    </row>
    <row r="168" spans="2:18" ht="14.25">
      <c r="B168" s="135"/>
      <c r="C168" s="14"/>
      <c r="D168" s="15"/>
      <c r="E168" s="33" t="s">
        <v>6</v>
      </c>
      <c r="F168" s="33">
        <v>25</v>
      </c>
      <c r="G168" s="58">
        <v>23</v>
      </c>
      <c r="H168" s="5">
        <f>R23</f>
        <v>49</v>
      </c>
      <c r="I168" s="16">
        <f t="shared" si="13"/>
        <v>1.23</v>
      </c>
      <c r="J168" s="16"/>
      <c r="K168" s="16"/>
      <c r="L168" s="16"/>
      <c r="M168" s="16"/>
      <c r="N168" s="44"/>
      <c r="O168" s="153"/>
      <c r="P168" s="20"/>
      <c r="Q168" s="21"/>
      <c r="R168" s="21"/>
    </row>
    <row r="169" spans="2:18" ht="14.25">
      <c r="B169" s="135"/>
      <c r="C169" s="14"/>
      <c r="D169" s="15"/>
      <c r="E169" s="33" t="s">
        <v>23</v>
      </c>
      <c r="F169" s="33">
        <v>19</v>
      </c>
      <c r="G169" s="58">
        <v>19</v>
      </c>
      <c r="H169" s="34">
        <f>R16</f>
        <v>543</v>
      </c>
      <c r="I169" s="16">
        <f t="shared" si="13"/>
        <v>10.32</v>
      </c>
      <c r="J169" s="16"/>
      <c r="K169" s="16"/>
      <c r="L169" s="16"/>
      <c r="M169" s="16"/>
      <c r="N169" s="44"/>
      <c r="O169" s="153"/>
      <c r="P169" s="20"/>
      <c r="Q169" s="21"/>
      <c r="R169" s="21"/>
    </row>
    <row r="170" spans="2:18" ht="14.25">
      <c r="B170" s="135"/>
      <c r="C170" s="14"/>
      <c r="D170" s="15"/>
      <c r="E170" s="33" t="s">
        <v>26</v>
      </c>
      <c r="F170" s="33">
        <v>6</v>
      </c>
      <c r="G170" s="58">
        <v>6</v>
      </c>
      <c r="H170" s="44">
        <f>R36</f>
        <v>145</v>
      </c>
      <c r="I170" s="16">
        <f t="shared" si="13"/>
        <v>0.87</v>
      </c>
      <c r="J170" s="16">
        <v>16.13</v>
      </c>
      <c r="K170" s="16">
        <v>11.13</v>
      </c>
      <c r="L170" s="16">
        <v>2.88</v>
      </c>
      <c r="M170" s="16">
        <v>176.21</v>
      </c>
      <c r="N170" s="44"/>
      <c r="O170" s="153">
        <f>(J170+L170)*4+K170*9</f>
        <v>176.21</v>
      </c>
      <c r="P170" s="20"/>
      <c r="Q170" s="21"/>
      <c r="R170" s="21"/>
    </row>
    <row r="171" spans="2:15" ht="14.25">
      <c r="B171" s="5">
        <v>3</v>
      </c>
      <c r="C171" s="207" t="s">
        <v>213</v>
      </c>
      <c r="D171" s="5">
        <v>150</v>
      </c>
      <c r="E171" s="8" t="s">
        <v>7</v>
      </c>
      <c r="F171" s="5">
        <v>290</v>
      </c>
      <c r="G171" s="5">
        <v>218</v>
      </c>
      <c r="H171" s="5">
        <f>R21</f>
        <v>54</v>
      </c>
      <c r="I171" s="16">
        <f aca="true" t="shared" si="14" ref="I171:I185">F171*H171/1000</f>
        <v>15.66</v>
      </c>
      <c r="J171" s="16"/>
      <c r="K171" s="16"/>
      <c r="L171" s="16"/>
      <c r="M171" s="16"/>
      <c r="N171" s="167"/>
      <c r="O171" s="153"/>
    </row>
    <row r="172" spans="2:15" ht="14.25">
      <c r="B172" s="5"/>
      <c r="C172" s="14"/>
      <c r="D172" s="5"/>
      <c r="E172" s="8" t="s">
        <v>26</v>
      </c>
      <c r="F172" s="5">
        <v>5</v>
      </c>
      <c r="G172" s="5">
        <v>5</v>
      </c>
      <c r="H172" s="5">
        <f>R36</f>
        <v>145</v>
      </c>
      <c r="I172" s="16">
        <f t="shared" si="14"/>
        <v>0.73</v>
      </c>
      <c r="J172" s="210">
        <v>5.1</v>
      </c>
      <c r="K172" s="210">
        <v>6.45</v>
      </c>
      <c r="L172" s="210">
        <v>40.35</v>
      </c>
      <c r="M172" s="210">
        <v>239.85</v>
      </c>
      <c r="N172" s="174"/>
      <c r="O172" s="153">
        <f>(J172+L172)*4+K172*9</f>
        <v>239.85</v>
      </c>
    </row>
    <row r="173" spans="2:15" ht="14.25">
      <c r="B173" s="5">
        <v>4</v>
      </c>
      <c r="C173" s="14" t="s">
        <v>226</v>
      </c>
      <c r="D173" s="5">
        <v>60</v>
      </c>
      <c r="E173" s="8" t="s">
        <v>7</v>
      </c>
      <c r="F173" s="5">
        <v>24</v>
      </c>
      <c r="G173" s="5">
        <v>18</v>
      </c>
      <c r="H173" s="5">
        <f>R21</f>
        <v>54</v>
      </c>
      <c r="I173" s="16">
        <f t="shared" si="14"/>
        <v>1.3</v>
      </c>
      <c r="J173" s="210"/>
      <c r="K173" s="210"/>
      <c r="L173" s="210"/>
      <c r="M173" s="210"/>
      <c r="N173" s="174"/>
      <c r="O173" s="153"/>
    </row>
    <row r="174" spans="2:15" ht="14.25">
      <c r="B174" s="5"/>
      <c r="C174" s="14"/>
      <c r="D174" s="5"/>
      <c r="E174" s="8" t="s">
        <v>15</v>
      </c>
      <c r="F174" s="5">
        <v>17</v>
      </c>
      <c r="G174" s="5">
        <v>13</v>
      </c>
      <c r="H174" s="5">
        <f>R25</f>
        <v>51</v>
      </c>
      <c r="I174" s="16">
        <f t="shared" si="14"/>
        <v>0.87</v>
      </c>
      <c r="J174" s="210"/>
      <c r="K174" s="210"/>
      <c r="L174" s="210"/>
      <c r="M174" s="210"/>
      <c r="N174" s="174"/>
      <c r="O174" s="153"/>
    </row>
    <row r="175" spans="2:15" ht="14.25">
      <c r="B175" s="5"/>
      <c r="C175" s="14"/>
      <c r="D175" s="5"/>
      <c r="E175" s="8" t="s">
        <v>8</v>
      </c>
      <c r="F175" s="5">
        <v>9</v>
      </c>
      <c r="G175" s="5">
        <v>7</v>
      </c>
      <c r="H175" s="5">
        <f>R24</f>
        <v>60</v>
      </c>
      <c r="I175" s="16">
        <f t="shared" si="14"/>
        <v>0.54</v>
      </c>
      <c r="J175" s="210"/>
      <c r="K175" s="210"/>
      <c r="L175" s="210"/>
      <c r="M175" s="210"/>
      <c r="N175" s="174"/>
      <c r="O175" s="153"/>
    </row>
    <row r="176" spans="2:15" ht="14.25">
      <c r="B176" s="5"/>
      <c r="C176" s="14"/>
      <c r="D176" s="5"/>
      <c r="E176" s="8" t="s">
        <v>98</v>
      </c>
      <c r="F176" s="5">
        <v>22</v>
      </c>
      <c r="G176" s="5">
        <v>14</v>
      </c>
      <c r="H176" s="5">
        <f>R26</f>
        <v>74</v>
      </c>
      <c r="I176" s="16">
        <f t="shared" si="14"/>
        <v>1.63</v>
      </c>
      <c r="J176" s="210"/>
      <c r="K176" s="210"/>
      <c r="L176" s="210"/>
      <c r="M176" s="210"/>
      <c r="N176" s="174"/>
      <c r="O176" s="153"/>
    </row>
    <row r="177" spans="2:15" ht="14.25">
      <c r="B177" s="5"/>
      <c r="C177" s="14"/>
      <c r="D177" s="5"/>
      <c r="E177" s="8" t="s">
        <v>158</v>
      </c>
      <c r="F177" s="5">
        <v>20</v>
      </c>
      <c r="G177" s="5">
        <v>16</v>
      </c>
      <c r="H177" s="5">
        <f>R28</f>
        <v>123</v>
      </c>
      <c r="I177" s="16">
        <f t="shared" si="14"/>
        <v>2.46</v>
      </c>
      <c r="J177" s="210"/>
      <c r="K177" s="210"/>
      <c r="L177" s="210"/>
      <c r="M177" s="210"/>
      <c r="N177" s="174"/>
      <c r="O177" s="153"/>
    </row>
    <row r="178" spans="2:15" ht="14.25">
      <c r="B178" s="5"/>
      <c r="C178" s="14"/>
      <c r="D178" s="5"/>
      <c r="E178" s="8" t="s">
        <v>6</v>
      </c>
      <c r="F178" s="5">
        <v>11</v>
      </c>
      <c r="G178" s="5">
        <v>9</v>
      </c>
      <c r="H178" s="5">
        <f>R23</f>
        <v>49</v>
      </c>
      <c r="I178" s="16">
        <f t="shared" si="14"/>
        <v>0.54</v>
      </c>
      <c r="J178" s="210"/>
      <c r="K178" s="210"/>
      <c r="L178" s="210"/>
      <c r="M178" s="210"/>
      <c r="N178" s="174"/>
      <c r="O178" s="153"/>
    </row>
    <row r="179" spans="2:15" ht="14.25">
      <c r="B179" s="5"/>
      <c r="C179" s="14"/>
      <c r="D179" s="5"/>
      <c r="E179" s="8" t="s">
        <v>26</v>
      </c>
      <c r="F179" s="5">
        <v>5</v>
      </c>
      <c r="G179" s="5">
        <v>5</v>
      </c>
      <c r="H179" s="5">
        <f>R36</f>
        <v>145</v>
      </c>
      <c r="I179" s="16">
        <f t="shared" si="14"/>
        <v>0.73</v>
      </c>
      <c r="J179" s="210">
        <v>1.42</v>
      </c>
      <c r="K179" s="210">
        <v>3.71</v>
      </c>
      <c r="L179" s="210">
        <v>6.44</v>
      </c>
      <c r="M179" s="210">
        <v>64.83</v>
      </c>
      <c r="N179" s="174">
        <v>103</v>
      </c>
      <c r="O179" s="153">
        <f>(J179+L179)*4+K179*9</f>
        <v>64.83</v>
      </c>
    </row>
    <row r="180" spans="2:15" ht="14.25">
      <c r="B180" s="5">
        <v>5</v>
      </c>
      <c r="C180" s="14" t="s">
        <v>35</v>
      </c>
      <c r="D180" s="15">
        <v>50</v>
      </c>
      <c r="E180" s="5" t="s">
        <v>19</v>
      </c>
      <c r="F180" s="34">
        <v>50</v>
      </c>
      <c r="G180" s="34">
        <v>50</v>
      </c>
      <c r="H180" s="5">
        <f>R60</f>
        <v>48</v>
      </c>
      <c r="I180" s="16">
        <f t="shared" si="14"/>
        <v>2.4</v>
      </c>
      <c r="J180" s="189">
        <v>3.06</v>
      </c>
      <c r="K180" s="189">
        <v>9.54</v>
      </c>
      <c r="L180" s="189">
        <v>18.28</v>
      </c>
      <c r="M180" s="189">
        <f>(J180+L180)*4+K180*9</f>
        <v>171.22</v>
      </c>
      <c r="N180" s="190">
        <v>1</v>
      </c>
      <c r="O180" s="153">
        <f>(J180+L180)*4+K180*9</f>
        <v>171.22</v>
      </c>
    </row>
    <row r="181" spans="2:15" ht="14.25">
      <c r="B181" s="5">
        <v>6</v>
      </c>
      <c r="C181" s="31" t="s">
        <v>25</v>
      </c>
      <c r="D181" s="5">
        <v>200</v>
      </c>
      <c r="E181" s="5" t="s">
        <v>20</v>
      </c>
      <c r="F181" s="5">
        <v>15</v>
      </c>
      <c r="G181" s="5">
        <v>15</v>
      </c>
      <c r="H181" s="34">
        <f>R32</f>
        <v>140</v>
      </c>
      <c r="I181" s="16">
        <f t="shared" si="14"/>
        <v>2.1</v>
      </c>
      <c r="J181" s="16"/>
      <c r="K181" s="16"/>
      <c r="L181" s="16"/>
      <c r="M181" s="16"/>
      <c r="N181" s="44"/>
      <c r="O181" s="153"/>
    </row>
    <row r="182" spans="2:15" ht="14.25">
      <c r="B182" s="5"/>
      <c r="C182" s="5"/>
      <c r="D182" s="5"/>
      <c r="E182" s="5" t="s">
        <v>2</v>
      </c>
      <c r="F182" s="5">
        <v>13</v>
      </c>
      <c r="G182" s="5">
        <v>13</v>
      </c>
      <c r="H182" s="34">
        <f>R50</f>
        <v>85</v>
      </c>
      <c r="I182" s="16">
        <f t="shared" si="14"/>
        <v>1.11</v>
      </c>
      <c r="J182" s="192">
        <v>0.04</v>
      </c>
      <c r="K182" s="192">
        <v>0</v>
      </c>
      <c r="L182" s="192">
        <v>24.76</v>
      </c>
      <c r="M182" s="189">
        <f>(J182+L182)*4+K182*9</f>
        <v>99.2</v>
      </c>
      <c r="N182" s="190">
        <v>349</v>
      </c>
      <c r="O182" s="153">
        <f>(J182+L182)*4+K182*9</f>
        <v>99.2</v>
      </c>
    </row>
    <row r="183" spans="2:15" ht="14.25">
      <c r="B183" s="5">
        <v>7</v>
      </c>
      <c r="C183" s="187" t="s">
        <v>201</v>
      </c>
      <c r="D183" s="34">
        <v>60</v>
      </c>
      <c r="E183" s="34" t="s">
        <v>202</v>
      </c>
      <c r="F183" s="5">
        <v>60</v>
      </c>
      <c r="G183" s="5">
        <v>60</v>
      </c>
      <c r="H183" s="34">
        <f>R64</f>
        <v>153</v>
      </c>
      <c r="I183" s="16">
        <f t="shared" si="14"/>
        <v>9.18</v>
      </c>
      <c r="J183" s="76">
        <v>3.54</v>
      </c>
      <c r="K183" s="76">
        <v>2.82</v>
      </c>
      <c r="L183" s="76">
        <v>45</v>
      </c>
      <c r="M183" s="76">
        <v>219.54</v>
      </c>
      <c r="N183" s="190">
        <v>368</v>
      </c>
      <c r="O183" s="153">
        <f>(J183+L183)*4+K183*9</f>
        <v>219.54</v>
      </c>
    </row>
    <row r="184" spans="2:15" ht="14.25">
      <c r="B184" s="5"/>
      <c r="C184" s="14"/>
      <c r="D184" s="15"/>
      <c r="E184" s="5" t="s">
        <v>159</v>
      </c>
      <c r="F184" s="5">
        <v>4</v>
      </c>
      <c r="G184" s="5">
        <v>4</v>
      </c>
      <c r="H184" s="5">
        <f>R54</f>
        <v>27</v>
      </c>
      <c r="I184" s="16">
        <f t="shared" si="14"/>
        <v>0.11</v>
      </c>
      <c r="J184" s="16"/>
      <c r="K184" s="16"/>
      <c r="L184" s="16"/>
      <c r="M184" s="16"/>
      <c r="N184" s="44"/>
      <c r="O184" s="153"/>
    </row>
    <row r="185" spans="2:15" ht="14.25">
      <c r="B185" s="5"/>
      <c r="C185" s="14"/>
      <c r="D185" s="5"/>
      <c r="E185" s="5" t="s">
        <v>93</v>
      </c>
      <c r="F185" s="5">
        <v>0.02</v>
      </c>
      <c r="G185" s="5">
        <v>0.02</v>
      </c>
      <c r="H185" s="5">
        <f>R59</f>
        <v>617</v>
      </c>
      <c r="I185" s="16">
        <f t="shared" si="14"/>
        <v>0.01</v>
      </c>
      <c r="J185" s="16"/>
      <c r="K185" s="16"/>
      <c r="L185" s="16"/>
      <c r="M185" s="16"/>
      <c r="N185" s="44"/>
      <c r="O185" s="153"/>
    </row>
    <row r="186" spans="2:15" ht="15">
      <c r="B186" s="5"/>
      <c r="C186" s="5"/>
      <c r="D186" s="195">
        <v>830</v>
      </c>
      <c r="E186" s="5"/>
      <c r="F186" s="5"/>
      <c r="G186" s="5"/>
      <c r="H186" s="34"/>
      <c r="I186" s="68">
        <f>SUM(I159:I185)</f>
        <v>79.8</v>
      </c>
      <c r="J186" s="68">
        <f>SUM(J159:J185)</f>
        <v>31.76</v>
      </c>
      <c r="K186" s="68">
        <f>SUM(K159:K185)</f>
        <v>40.65</v>
      </c>
      <c r="L186" s="68">
        <f>SUM(L159:L185)</f>
        <v>148.22</v>
      </c>
      <c r="M186" s="68">
        <f>SUM(M159:M185)</f>
        <v>1085.77</v>
      </c>
      <c r="N186" s="148"/>
      <c r="O186" s="153">
        <f>(J186+L186)*4+K186*9</f>
        <v>1085.77</v>
      </c>
    </row>
    <row r="187" spans="3:15" ht="15">
      <c r="C187" s="64"/>
      <c r="D187" s="27"/>
      <c r="E187" s="27"/>
      <c r="J187" s="22"/>
      <c r="K187" s="22"/>
      <c r="L187" s="22"/>
      <c r="M187" s="22"/>
      <c r="N187" s="155"/>
      <c r="O187" s="153"/>
    </row>
    <row r="188" spans="3:15" s="70" customFormat="1" ht="15">
      <c r="C188" s="73" t="s">
        <v>68</v>
      </c>
      <c r="N188" s="154"/>
      <c r="O188" s="184"/>
    </row>
    <row r="189" spans="2:15" ht="30" customHeight="1">
      <c r="B189" s="253" t="s">
        <v>3</v>
      </c>
      <c r="C189" s="127"/>
      <c r="D189" s="17" t="s">
        <v>4</v>
      </c>
      <c r="E189" s="253" t="s">
        <v>29</v>
      </c>
      <c r="F189" s="149" t="s">
        <v>12</v>
      </c>
      <c r="G189" s="149" t="s">
        <v>57</v>
      </c>
      <c r="H189" s="149" t="s">
        <v>30</v>
      </c>
      <c r="I189" s="149" t="s">
        <v>31</v>
      </c>
      <c r="J189" s="252" t="s">
        <v>70</v>
      </c>
      <c r="K189" s="252" t="s">
        <v>71</v>
      </c>
      <c r="L189" s="252" t="s">
        <v>72</v>
      </c>
      <c r="M189" s="252" t="s">
        <v>73</v>
      </c>
      <c r="N189" s="250" t="s">
        <v>144</v>
      </c>
      <c r="O189" s="153"/>
    </row>
    <row r="190" spans="2:15" s="70" customFormat="1" ht="15">
      <c r="B190" s="257"/>
      <c r="C190" s="208" t="s">
        <v>138</v>
      </c>
      <c r="D190" s="209" t="s">
        <v>32</v>
      </c>
      <c r="E190" s="255"/>
      <c r="F190" s="34" t="s">
        <v>32</v>
      </c>
      <c r="G190" s="34" t="s">
        <v>32</v>
      </c>
      <c r="H190" s="34" t="s">
        <v>33</v>
      </c>
      <c r="I190" s="34" t="s">
        <v>34</v>
      </c>
      <c r="J190" s="251"/>
      <c r="K190" s="251"/>
      <c r="L190" s="251"/>
      <c r="M190" s="251"/>
      <c r="N190" s="251"/>
      <c r="O190" s="184"/>
    </row>
    <row r="191" spans="2:15" ht="14.25">
      <c r="B191" s="5">
        <v>1</v>
      </c>
      <c r="C191" s="31" t="s">
        <v>220</v>
      </c>
      <c r="D191" s="5">
        <v>90</v>
      </c>
      <c r="E191" s="5" t="s">
        <v>16</v>
      </c>
      <c r="F191" s="5">
        <v>65</v>
      </c>
      <c r="G191" s="5">
        <v>65</v>
      </c>
      <c r="H191" s="5">
        <f>R6</f>
        <v>622</v>
      </c>
      <c r="I191" s="16">
        <f aca="true" t="shared" si="15" ref="I191:I210">F191*H191/1000</f>
        <v>40.43</v>
      </c>
      <c r="J191" s="166"/>
      <c r="K191" s="166"/>
      <c r="L191" s="166"/>
      <c r="M191" s="166"/>
      <c r="N191" s="167"/>
      <c r="O191" s="153"/>
    </row>
    <row r="192" spans="2:15" ht="14.25">
      <c r="B192" s="5"/>
      <c r="C192" s="5"/>
      <c r="D192" s="5"/>
      <c r="E192" s="5" t="s">
        <v>19</v>
      </c>
      <c r="F192" s="5">
        <v>11</v>
      </c>
      <c r="G192" s="5">
        <v>11</v>
      </c>
      <c r="H192" s="5">
        <f>R60</f>
        <v>48</v>
      </c>
      <c r="I192" s="16">
        <f t="shared" si="15"/>
        <v>0.53</v>
      </c>
      <c r="J192" s="166"/>
      <c r="K192" s="166"/>
      <c r="L192" s="166"/>
      <c r="M192" s="166"/>
      <c r="N192" s="167"/>
      <c r="O192" s="153"/>
    </row>
    <row r="193" spans="2:15" ht="14.25">
      <c r="B193" s="5"/>
      <c r="C193" s="5"/>
      <c r="D193" s="5"/>
      <c r="E193" s="5" t="s">
        <v>146</v>
      </c>
      <c r="F193" s="5">
        <v>11</v>
      </c>
      <c r="G193" s="5">
        <v>11</v>
      </c>
      <c r="H193" s="5">
        <f>R60</f>
        <v>48</v>
      </c>
      <c r="I193" s="16">
        <f t="shared" si="15"/>
        <v>0.53</v>
      </c>
      <c r="J193" s="166"/>
      <c r="K193" s="166"/>
      <c r="L193" s="166"/>
      <c r="M193" s="166"/>
      <c r="N193" s="167"/>
      <c r="O193" s="153"/>
    </row>
    <row r="194" spans="2:15" ht="14.25">
      <c r="B194" s="5"/>
      <c r="C194" s="5"/>
      <c r="D194" s="5"/>
      <c r="E194" s="5" t="s">
        <v>6</v>
      </c>
      <c r="F194" s="5">
        <v>13</v>
      </c>
      <c r="G194" s="5">
        <v>11</v>
      </c>
      <c r="H194" s="5">
        <f>R23</f>
        <v>49</v>
      </c>
      <c r="I194" s="16">
        <f t="shared" si="15"/>
        <v>0.64</v>
      </c>
      <c r="J194" s="106"/>
      <c r="K194" s="198"/>
      <c r="L194" s="106"/>
      <c r="M194" s="106"/>
      <c r="N194" s="167"/>
      <c r="O194" s="153"/>
    </row>
    <row r="195" spans="2:15" ht="14.25">
      <c r="B195" s="5"/>
      <c r="C195" s="5"/>
      <c r="D195" s="5"/>
      <c r="E195" s="5" t="s">
        <v>11</v>
      </c>
      <c r="F195" s="5">
        <v>0.12</v>
      </c>
      <c r="G195" s="5">
        <v>0.12</v>
      </c>
      <c r="H195" s="16">
        <f>R5</f>
        <v>13.5</v>
      </c>
      <c r="I195" s="16">
        <f>F195*H195</f>
        <v>1.62</v>
      </c>
      <c r="J195" s="76"/>
      <c r="K195" s="76"/>
      <c r="L195" s="76"/>
      <c r="M195" s="76"/>
      <c r="N195" s="190"/>
      <c r="O195" s="153"/>
    </row>
    <row r="196" spans="2:15" ht="14.25">
      <c r="B196" s="5"/>
      <c r="C196" s="5"/>
      <c r="D196" s="5"/>
      <c r="E196" s="5" t="s">
        <v>26</v>
      </c>
      <c r="F196" s="5">
        <v>5</v>
      </c>
      <c r="G196" s="5">
        <v>5</v>
      </c>
      <c r="H196" s="5">
        <f>R36</f>
        <v>145</v>
      </c>
      <c r="I196" s="16">
        <f t="shared" si="15"/>
        <v>0.73</v>
      </c>
      <c r="J196" s="189">
        <v>14</v>
      </c>
      <c r="K196" s="189">
        <v>22.25</v>
      </c>
      <c r="L196" s="189">
        <v>14.13</v>
      </c>
      <c r="M196" s="189">
        <v>312.77</v>
      </c>
      <c r="N196" s="190">
        <v>658</v>
      </c>
      <c r="O196" s="153">
        <f>(J196+L196)*4+K196*9</f>
        <v>312.77</v>
      </c>
    </row>
    <row r="197" spans="2:15" ht="14.25">
      <c r="B197" s="5"/>
      <c r="C197" s="133"/>
      <c r="D197" s="5"/>
      <c r="E197" s="5" t="s">
        <v>28</v>
      </c>
      <c r="F197" s="5">
        <v>5</v>
      </c>
      <c r="G197" s="5">
        <v>5</v>
      </c>
      <c r="H197" s="5">
        <f>R13</f>
        <v>467</v>
      </c>
      <c r="I197" s="16">
        <f t="shared" si="15"/>
        <v>2.34</v>
      </c>
      <c r="J197" s="76">
        <v>0.02</v>
      </c>
      <c r="K197" s="16">
        <v>3.93</v>
      </c>
      <c r="L197" s="16">
        <v>0.03</v>
      </c>
      <c r="M197" s="16">
        <v>35.57</v>
      </c>
      <c r="N197" s="44"/>
      <c r="O197" s="153">
        <f>(J197+L197)*4+K197*9</f>
        <v>35.57</v>
      </c>
    </row>
    <row r="198" spans="2:15" ht="14.25">
      <c r="B198" s="5">
        <v>2</v>
      </c>
      <c r="C198" s="207" t="s">
        <v>125</v>
      </c>
      <c r="D198" s="5">
        <v>150</v>
      </c>
      <c r="E198" s="5" t="s">
        <v>124</v>
      </c>
      <c r="F198" s="5">
        <v>50</v>
      </c>
      <c r="G198" s="5">
        <v>50</v>
      </c>
      <c r="H198" s="5">
        <f>R40</f>
        <v>85</v>
      </c>
      <c r="I198" s="16">
        <f t="shared" si="15"/>
        <v>4.25</v>
      </c>
      <c r="J198" s="189"/>
      <c r="K198" s="189"/>
      <c r="L198" s="189"/>
      <c r="M198" s="189"/>
      <c r="N198" s="190"/>
      <c r="O198" s="153"/>
    </row>
    <row r="199" spans="2:15" ht="14.25">
      <c r="B199" s="5"/>
      <c r="C199" s="179"/>
      <c r="D199" s="28"/>
      <c r="E199" s="28" t="s">
        <v>28</v>
      </c>
      <c r="F199" s="5">
        <v>8</v>
      </c>
      <c r="G199" s="5">
        <v>8</v>
      </c>
      <c r="H199" s="5">
        <f>R13</f>
        <v>467</v>
      </c>
      <c r="I199" s="16">
        <f t="shared" si="15"/>
        <v>3.74</v>
      </c>
      <c r="J199" s="191">
        <v>8.63</v>
      </c>
      <c r="K199" s="189">
        <v>6.09</v>
      </c>
      <c r="L199" s="189">
        <v>38.64</v>
      </c>
      <c r="M199" s="189">
        <f>(J199+L199)*4+K199*9</f>
        <v>243.89</v>
      </c>
      <c r="N199" s="190">
        <v>302</v>
      </c>
      <c r="O199" s="153">
        <f>(J199+L199)*4+K199*9</f>
        <v>243.89</v>
      </c>
    </row>
    <row r="200" spans="2:15" ht="14.25">
      <c r="B200" s="5">
        <v>3</v>
      </c>
      <c r="C200" s="179" t="s">
        <v>35</v>
      </c>
      <c r="D200" s="57">
        <v>40</v>
      </c>
      <c r="E200" s="28" t="s">
        <v>19</v>
      </c>
      <c r="F200" s="5">
        <v>40</v>
      </c>
      <c r="G200" s="5">
        <v>40</v>
      </c>
      <c r="H200" s="5">
        <f>R60</f>
        <v>48</v>
      </c>
      <c r="I200" s="16">
        <f t="shared" si="15"/>
        <v>1.92</v>
      </c>
      <c r="J200" s="189">
        <v>2.45</v>
      </c>
      <c r="K200" s="189">
        <v>7.63</v>
      </c>
      <c r="L200" s="189">
        <v>14.62</v>
      </c>
      <c r="M200" s="189">
        <v>136.95</v>
      </c>
      <c r="N200" s="190"/>
      <c r="O200" s="153">
        <f>(J200+L200)*4+K200*9</f>
        <v>136.95</v>
      </c>
    </row>
    <row r="201" spans="2:15" ht="14.25">
      <c r="B201" s="5">
        <v>4</v>
      </c>
      <c r="C201" s="14" t="s">
        <v>192</v>
      </c>
      <c r="D201" s="199">
        <v>100</v>
      </c>
      <c r="E201" s="197" t="s">
        <v>74</v>
      </c>
      <c r="F201" s="197">
        <v>63</v>
      </c>
      <c r="G201" s="197">
        <v>58</v>
      </c>
      <c r="H201" s="5">
        <f>R39</f>
        <v>40</v>
      </c>
      <c r="I201" s="16">
        <f t="shared" si="15"/>
        <v>2.52</v>
      </c>
      <c r="J201" s="166"/>
      <c r="K201" s="166"/>
      <c r="L201" s="166"/>
      <c r="M201" s="166"/>
      <c r="N201" s="167"/>
      <c r="O201" s="153"/>
    </row>
    <row r="202" spans="2:15" ht="14.25">
      <c r="B202" s="5"/>
      <c r="C202" s="14"/>
      <c r="D202" s="199"/>
      <c r="E202" s="197" t="s">
        <v>11</v>
      </c>
      <c r="F202" s="197">
        <v>0.2</v>
      </c>
      <c r="G202" s="197">
        <v>0.2</v>
      </c>
      <c r="H202" s="16">
        <f>R5</f>
        <v>13.5</v>
      </c>
      <c r="I202" s="16">
        <f>F202*H202</f>
        <v>2.7</v>
      </c>
      <c r="J202" s="166"/>
      <c r="K202" s="166"/>
      <c r="L202" s="166"/>
      <c r="M202" s="166"/>
      <c r="N202" s="167"/>
      <c r="O202" s="153"/>
    </row>
    <row r="203" spans="2:15" ht="14.25">
      <c r="B203" s="5"/>
      <c r="C203" s="14"/>
      <c r="D203" s="199"/>
      <c r="E203" s="197" t="s">
        <v>28</v>
      </c>
      <c r="F203" s="197">
        <v>5</v>
      </c>
      <c r="G203" s="197">
        <v>5</v>
      </c>
      <c r="H203" s="5">
        <f>R13</f>
        <v>467</v>
      </c>
      <c r="I203" s="16">
        <f t="shared" si="15"/>
        <v>2.34</v>
      </c>
      <c r="J203" s="166"/>
      <c r="K203" s="166"/>
      <c r="L203" s="166"/>
      <c r="M203" s="166"/>
      <c r="N203" s="167"/>
      <c r="O203" s="153"/>
    </row>
    <row r="204" spans="2:15" ht="14.25">
      <c r="B204" s="5"/>
      <c r="C204" s="14"/>
      <c r="D204" s="199"/>
      <c r="E204" s="197" t="s">
        <v>26</v>
      </c>
      <c r="F204" s="197">
        <v>4</v>
      </c>
      <c r="G204" s="197">
        <v>4</v>
      </c>
      <c r="H204" s="5">
        <f>R36</f>
        <v>145</v>
      </c>
      <c r="I204" s="16">
        <f t="shared" si="15"/>
        <v>0.58</v>
      </c>
      <c r="J204" s="166"/>
      <c r="K204" s="166"/>
      <c r="L204" s="166"/>
      <c r="M204" s="166"/>
      <c r="N204" s="167"/>
      <c r="O204" s="153"/>
    </row>
    <row r="205" spans="2:15" ht="14.25">
      <c r="B205" s="5"/>
      <c r="C205" s="14"/>
      <c r="D205" s="199"/>
      <c r="E205" s="197" t="s">
        <v>169</v>
      </c>
      <c r="F205" s="197">
        <v>2.5</v>
      </c>
      <c r="G205" s="197">
        <v>2.5</v>
      </c>
      <c r="H205" s="5">
        <f>R53</f>
        <v>377</v>
      </c>
      <c r="I205" s="16">
        <f t="shared" si="15"/>
        <v>0.94</v>
      </c>
      <c r="J205" s="166"/>
      <c r="K205" s="166"/>
      <c r="L205" s="166"/>
      <c r="M205" s="166"/>
      <c r="N205" s="167"/>
      <c r="O205" s="153"/>
    </row>
    <row r="206" spans="2:15" ht="14.25">
      <c r="B206" s="5"/>
      <c r="C206" s="14"/>
      <c r="D206" s="199"/>
      <c r="E206" s="197" t="s">
        <v>2</v>
      </c>
      <c r="F206" s="197">
        <v>12</v>
      </c>
      <c r="G206" s="197">
        <v>12</v>
      </c>
      <c r="H206" s="5">
        <f>R50</f>
        <v>85</v>
      </c>
      <c r="I206" s="16">
        <f t="shared" si="15"/>
        <v>1.02</v>
      </c>
      <c r="J206" s="166"/>
      <c r="K206" s="166"/>
      <c r="L206" s="166"/>
      <c r="M206" s="166"/>
      <c r="N206" s="167"/>
      <c r="O206" s="153"/>
    </row>
    <row r="207" spans="2:15" ht="14.25">
      <c r="B207" s="5"/>
      <c r="C207" s="200"/>
      <c r="D207" s="201"/>
      <c r="E207" s="197" t="s">
        <v>193</v>
      </c>
      <c r="F207" s="197"/>
      <c r="G207" s="197"/>
      <c r="H207" s="5"/>
      <c r="I207" s="16"/>
      <c r="J207" s="166"/>
      <c r="K207" s="166"/>
      <c r="L207" s="166"/>
      <c r="M207" s="166"/>
      <c r="N207" s="167"/>
      <c r="O207" s="153"/>
    </row>
    <row r="208" spans="2:15" ht="14.25">
      <c r="B208" s="5"/>
      <c r="C208" s="200"/>
      <c r="D208" s="201"/>
      <c r="E208" s="197" t="s">
        <v>74</v>
      </c>
      <c r="F208" s="197">
        <v>7</v>
      </c>
      <c r="G208" s="197">
        <v>7</v>
      </c>
      <c r="H208" s="5">
        <f>R39</f>
        <v>40</v>
      </c>
      <c r="I208" s="16">
        <f t="shared" si="15"/>
        <v>0.28</v>
      </c>
      <c r="J208" s="166"/>
      <c r="K208" s="166"/>
      <c r="L208" s="166"/>
      <c r="M208" s="166"/>
      <c r="N208" s="167"/>
      <c r="O208" s="153"/>
    </row>
    <row r="209" spans="2:15" ht="14.25">
      <c r="B209" s="5"/>
      <c r="C209" s="200"/>
      <c r="D209" s="201"/>
      <c r="E209" s="197" t="s">
        <v>28</v>
      </c>
      <c r="F209" s="197">
        <v>3</v>
      </c>
      <c r="G209" s="197">
        <v>3</v>
      </c>
      <c r="H209" s="5">
        <f>R13</f>
        <v>467</v>
      </c>
      <c r="I209" s="16">
        <f t="shared" si="15"/>
        <v>1.4</v>
      </c>
      <c r="J209" s="166"/>
      <c r="K209" s="166"/>
      <c r="L209" s="166"/>
      <c r="M209" s="166"/>
      <c r="N209" s="167"/>
      <c r="O209" s="153"/>
    </row>
    <row r="210" spans="2:15" ht="14.25">
      <c r="B210" s="5"/>
      <c r="C210" s="200"/>
      <c r="D210" s="201"/>
      <c r="E210" s="197" t="s">
        <v>26</v>
      </c>
      <c r="F210" s="197">
        <v>3</v>
      </c>
      <c r="G210" s="197">
        <v>3</v>
      </c>
      <c r="H210" s="5">
        <f>R36</f>
        <v>145</v>
      </c>
      <c r="I210" s="16">
        <f t="shared" si="15"/>
        <v>0.44</v>
      </c>
      <c r="J210" s="166">
        <v>7.75</v>
      </c>
      <c r="K210" s="166">
        <v>12.64</v>
      </c>
      <c r="L210" s="166">
        <v>56</v>
      </c>
      <c r="M210" s="166">
        <v>368.76</v>
      </c>
      <c r="N210" s="167">
        <v>503</v>
      </c>
      <c r="O210" s="153">
        <f>(J210+L210)*4+K210*9</f>
        <v>368.76</v>
      </c>
    </row>
    <row r="211" spans="2:15" s="70" customFormat="1" ht="14.25">
      <c r="B211" s="34">
        <v>5</v>
      </c>
      <c r="C211" s="202" t="s">
        <v>217</v>
      </c>
      <c r="D211" s="135">
        <v>200</v>
      </c>
      <c r="E211" s="34" t="s">
        <v>14</v>
      </c>
      <c r="F211" s="34">
        <v>1</v>
      </c>
      <c r="G211" s="34">
        <v>1</v>
      </c>
      <c r="H211" s="34">
        <f>R58</f>
        <v>507</v>
      </c>
      <c r="I211" s="76">
        <f>F211*H211/1000</f>
        <v>0.51</v>
      </c>
      <c r="J211" s="76"/>
      <c r="K211" s="76"/>
      <c r="L211" s="76"/>
      <c r="M211" s="76"/>
      <c r="N211" s="44"/>
      <c r="O211" s="184"/>
    </row>
    <row r="212" spans="2:15" s="70" customFormat="1" ht="14.25">
      <c r="B212" s="34"/>
      <c r="C212" s="202"/>
      <c r="D212" s="135"/>
      <c r="E212" s="34" t="s">
        <v>218</v>
      </c>
      <c r="F212" s="34">
        <v>7</v>
      </c>
      <c r="G212" s="34">
        <v>6</v>
      </c>
      <c r="H212" s="34">
        <f>R63</f>
        <v>220</v>
      </c>
      <c r="I212" s="76">
        <f>F212*H212/1000</f>
        <v>1.54</v>
      </c>
      <c r="J212" s="76"/>
      <c r="K212" s="76"/>
      <c r="L212" s="76"/>
      <c r="M212" s="76"/>
      <c r="N212" s="44"/>
      <c r="O212" s="184"/>
    </row>
    <row r="213" spans="2:15" s="70" customFormat="1" ht="14.25">
      <c r="B213" s="34"/>
      <c r="C213" s="133"/>
      <c r="D213" s="209"/>
      <c r="E213" s="220" t="s">
        <v>2</v>
      </c>
      <c r="F213" s="34">
        <v>12</v>
      </c>
      <c r="G213" s="34">
        <v>12</v>
      </c>
      <c r="H213" s="34">
        <f>R50</f>
        <v>85</v>
      </c>
      <c r="I213" s="76">
        <f>F213*H213/1000</f>
        <v>1.02</v>
      </c>
      <c r="J213" s="34">
        <v>9.02</v>
      </c>
      <c r="K213" s="34">
        <v>2.28</v>
      </c>
      <c r="L213" s="34">
        <v>15.42</v>
      </c>
      <c r="M213" s="34">
        <v>118.28</v>
      </c>
      <c r="N213" s="226">
        <v>377</v>
      </c>
      <c r="O213" s="184">
        <f>(J213+L213)*4+K213*9</f>
        <v>118.28</v>
      </c>
    </row>
    <row r="214" spans="2:15" ht="14.25">
      <c r="B214" s="5">
        <v>6</v>
      </c>
      <c r="C214" s="188" t="s">
        <v>131</v>
      </c>
      <c r="D214" s="96">
        <v>70</v>
      </c>
      <c r="E214" s="5" t="s">
        <v>132</v>
      </c>
      <c r="F214" s="5">
        <v>70</v>
      </c>
      <c r="G214" s="5"/>
      <c r="H214" s="5">
        <f>R30</f>
        <v>110</v>
      </c>
      <c r="I214" s="16">
        <f>F214*H214/1000</f>
        <v>7.7</v>
      </c>
      <c r="J214" s="189">
        <v>0.28</v>
      </c>
      <c r="K214" s="189">
        <v>0.28</v>
      </c>
      <c r="L214" s="189">
        <v>6.86</v>
      </c>
      <c r="M214" s="189">
        <v>31.08</v>
      </c>
      <c r="N214" s="190">
        <v>368</v>
      </c>
      <c r="O214" s="153">
        <f>(J214+L214)*4+K214*9</f>
        <v>31.08</v>
      </c>
    </row>
    <row r="215" spans="2:15" ht="14.25">
      <c r="B215" s="5"/>
      <c r="C215" s="2"/>
      <c r="D215" s="96"/>
      <c r="E215" s="5" t="s">
        <v>159</v>
      </c>
      <c r="F215" s="5">
        <v>3</v>
      </c>
      <c r="G215" s="5">
        <v>3</v>
      </c>
      <c r="H215" s="5">
        <f>R54</f>
        <v>27</v>
      </c>
      <c r="I215" s="16">
        <f>F215*H215/1000</f>
        <v>0.08</v>
      </c>
      <c r="J215" s="76"/>
      <c r="K215" s="76"/>
      <c r="L215" s="76"/>
      <c r="M215" s="76"/>
      <c r="N215" s="44"/>
      <c r="O215" s="153"/>
    </row>
    <row r="216" spans="2:15" ht="15">
      <c r="B216" s="2"/>
      <c r="C216" s="3"/>
      <c r="D216" s="195">
        <f>SUM(D191:D215)</f>
        <v>650</v>
      </c>
      <c r="E216" s="5"/>
      <c r="F216" s="5"/>
      <c r="G216" s="5"/>
      <c r="H216" s="5"/>
      <c r="I216" s="68">
        <f>SUM(I191:I215)</f>
        <v>79.8</v>
      </c>
      <c r="J216" s="68">
        <f>SUM(J191:J215)</f>
        <v>42.15</v>
      </c>
      <c r="K216" s="68">
        <f>SUM(K191:K215)</f>
        <v>55.1</v>
      </c>
      <c r="L216" s="68">
        <f>SUM(L191:L215)</f>
        <v>145.7</v>
      </c>
      <c r="M216" s="68">
        <f>SUM(M191:M215)</f>
        <v>1247.3</v>
      </c>
      <c r="N216" s="144"/>
      <c r="O216" s="153">
        <f>(J216+L216)*4+K216*9</f>
        <v>1247.3</v>
      </c>
    </row>
    <row r="217" spans="2:15" ht="15">
      <c r="B217" s="5"/>
      <c r="C217" s="72" t="s">
        <v>139</v>
      </c>
      <c r="D217" s="9"/>
      <c r="E217" s="8"/>
      <c r="F217" s="5"/>
      <c r="G217" s="5"/>
      <c r="H217" s="5"/>
      <c r="I217" s="16"/>
      <c r="J217" s="16"/>
      <c r="K217" s="16"/>
      <c r="L217" s="16"/>
      <c r="M217" s="16"/>
      <c r="N217" s="44"/>
      <c r="O217" s="153"/>
    </row>
    <row r="218" spans="2:15" ht="14.25">
      <c r="B218" s="5">
        <v>1</v>
      </c>
      <c r="C218" s="14" t="s">
        <v>147</v>
      </c>
      <c r="D218" s="135">
        <v>250</v>
      </c>
      <c r="E218" s="5" t="s">
        <v>7</v>
      </c>
      <c r="F218" s="5">
        <v>78</v>
      </c>
      <c r="G218" s="5">
        <v>50</v>
      </c>
      <c r="H218" s="5">
        <f>R21</f>
        <v>54</v>
      </c>
      <c r="I218" s="16">
        <f aca="true" t="shared" si="16" ref="I218:I236">F218*H218/1000</f>
        <v>4.21</v>
      </c>
      <c r="J218" s="16"/>
      <c r="K218" s="16"/>
      <c r="L218" s="16"/>
      <c r="M218" s="16"/>
      <c r="N218" s="44"/>
      <c r="O218" s="153"/>
    </row>
    <row r="219" spans="2:15" ht="14.25">
      <c r="B219" s="5"/>
      <c r="C219" s="8"/>
      <c r="D219" s="15"/>
      <c r="E219" s="5" t="s">
        <v>21</v>
      </c>
      <c r="F219" s="5">
        <v>20</v>
      </c>
      <c r="G219" s="5">
        <v>16</v>
      </c>
      <c r="H219" s="5">
        <f>R46</f>
        <v>54</v>
      </c>
      <c r="I219" s="16">
        <f t="shared" si="16"/>
        <v>1.08</v>
      </c>
      <c r="J219" s="16"/>
      <c r="K219" s="16"/>
      <c r="L219" s="16"/>
      <c r="M219" s="16"/>
      <c r="N219" s="44"/>
      <c r="O219" s="153"/>
    </row>
    <row r="220" spans="2:15" ht="14.25">
      <c r="B220" s="5"/>
      <c r="C220" s="8"/>
      <c r="D220" s="15"/>
      <c r="E220" s="5" t="s">
        <v>6</v>
      </c>
      <c r="F220" s="5">
        <v>13</v>
      </c>
      <c r="G220" s="5">
        <v>10</v>
      </c>
      <c r="H220" s="5">
        <f>R23</f>
        <v>49</v>
      </c>
      <c r="I220" s="16">
        <f t="shared" si="16"/>
        <v>0.64</v>
      </c>
      <c r="J220" s="16"/>
      <c r="K220" s="16"/>
      <c r="L220" s="16"/>
      <c r="M220" s="16"/>
      <c r="N220" s="44"/>
      <c r="O220" s="153"/>
    </row>
    <row r="221" spans="2:15" ht="14.25">
      <c r="B221" s="5"/>
      <c r="C221" s="8"/>
      <c r="D221" s="15"/>
      <c r="E221" s="5" t="s">
        <v>8</v>
      </c>
      <c r="F221" s="5">
        <v>13</v>
      </c>
      <c r="G221" s="5">
        <v>10</v>
      </c>
      <c r="H221" s="5">
        <f>R24</f>
        <v>60</v>
      </c>
      <c r="I221" s="16">
        <f t="shared" si="16"/>
        <v>0.78</v>
      </c>
      <c r="J221" s="16"/>
      <c r="K221" s="16"/>
      <c r="L221" s="16"/>
      <c r="M221" s="16"/>
      <c r="N221" s="44"/>
      <c r="O221" s="153"/>
    </row>
    <row r="222" spans="2:15" ht="14.25">
      <c r="B222" s="5"/>
      <c r="C222" s="8"/>
      <c r="D222" s="15"/>
      <c r="E222" s="5" t="s">
        <v>26</v>
      </c>
      <c r="F222" s="5">
        <v>5</v>
      </c>
      <c r="G222" s="5">
        <v>5</v>
      </c>
      <c r="H222" s="5">
        <f>R36</f>
        <v>145</v>
      </c>
      <c r="I222" s="16">
        <f t="shared" si="16"/>
        <v>0.73</v>
      </c>
      <c r="J222" s="16">
        <v>6.2</v>
      </c>
      <c r="K222" s="16">
        <v>5.51</v>
      </c>
      <c r="L222" s="16">
        <v>20.55</v>
      </c>
      <c r="M222" s="16">
        <v>156.59</v>
      </c>
      <c r="N222" s="174">
        <v>221</v>
      </c>
      <c r="O222" s="153">
        <f>(J222+L222)*4+K222*9</f>
        <v>156.59</v>
      </c>
    </row>
    <row r="223" spans="2:15" ht="14.25">
      <c r="B223" s="5">
        <v>2</v>
      </c>
      <c r="C223" s="31" t="s">
        <v>220</v>
      </c>
      <c r="D223" s="5">
        <v>90</v>
      </c>
      <c r="E223" s="5" t="s">
        <v>16</v>
      </c>
      <c r="F223" s="5">
        <v>66</v>
      </c>
      <c r="G223" s="5">
        <v>66</v>
      </c>
      <c r="H223" s="5">
        <f>R6</f>
        <v>622</v>
      </c>
      <c r="I223" s="16">
        <f t="shared" si="16"/>
        <v>41.05</v>
      </c>
      <c r="J223" s="189"/>
      <c r="K223" s="189"/>
      <c r="L223" s="189"/>
      <c r="M223" s="189"/>
      <c r="N223" s="190"/>
      <c r="O223" s="153"/>
    </row>
    <row r="224" spans="2:15" ht="14.25">
      <c r="B224" s="5"/>
      <c r="C224" s="5"/>
      <c r="D224" s="5"/>
      <c r="E224" s="5" t="s">
        <v>19</v>
      </c>
      <c r="F224" s="5">
        <v>13</v>
      </c>
      <c r="G224" s="5">
        <v>13</v>
      </c>
      <c r="H224" s="5">
        <f>R60</f>
        <v>48</v>
      </c>
      <c r="I224" s="16">
        <f t="shared" si="16"/>
        <v>0.62</v>
      </c>
      <c r="J224" s="189"/>
      <c r="K224" s="189"/>
      <c r="L224" s="189"/>
      <c r="M224" s="189"/>
      <c r="N224" s="190"/>
      <c r="O224" s="153"/>
    </row>
    <row r="225" spans="2:15" ht="14.25">
      <c r="B225" s="5"/>
      <c r="C225" s="5"/>
      <c r="D225" s="5"/>
      <c r="E225" s="5" t="s">
        <v>146</v>
      </c>
      <c r="F225" s="5">
        <v>13</v>
      </c>
      <c r="G225" s="5">
        <v>13</v>
      </c>
      <c r="H225" s="5">
        <f>R60</f>
        <v>48</v>
      </c>
      <c r="I225" s="16">
        <f t="shared" si="16"/>
        <v>0.62</v>
      </c>
      <c r="J225" s="189"/>
      <c r="K225" s="189"/>
      <c r="L225" s="189"/>
      <c r="M225" s="189"/>
      <c r="N225" s="190"/>
      <c r="O225" s="153"/>
    </row>
    <row r="226" spans="2:15" ht="14.25">
      <c r="B226" s="5"/>
      <c r="C226" s="5"/>
      <c r="D226" s="5"/>
      <c r="E226" s="5" t="s">
        <v>6</v>
      </c>
      <c r="F226" s="5">
        <v>13</v>
      </c>
      <c r="G226" s="5">
        <v>11</v>
      </c>
      <c r="H226" s="5">
        <f>R23</f>
        <v>49</v>
      </c>
      <c r="I226" s="16">
        <f t="shared" si="16"/>
        <v>0.64</v>
      </c>
      <c r="J226" s="189"/>
      <c r="K226" s="189"/>
      <c r="L226" s="189"/>
      <c r="M226" s="189"/>
      <c r="N226" s="190"/>
      <c r="O226" s="153"/>
    </row>
    <row r="227" spans="2:15" ht="14.25">
      <c r="B227" s="5"/>
      <c r="C227" s="5"/>
      <c r="D227" s="5"/>
      <c r="E227" s="5" t="s">
        <v>11</v>
      </c>
      <c r="F227" s="5">
        <v>0.12</v>
      </c>
      <c r="G227" s="5">
        <v>0.12</v>
      </c>
      <c r="H227" s="16">
        <f>R5</f>
        <v>13.5</v>
      </c>
      <c r="I227" s="16">
        <f>F227*H227</f>
        <v>1.62</v>
      </c>
      <c r="J227" s="189"/>
      <c r="K227" s="189"/>
      <c r="L227" s="189"/>
      <c r="M227" s="189"/>
      <c r="N227" s="190"/>
      <c r="O227" s="153"/>
    </row>
    <row r="228" spans="2:15" ht="14.25">
      <c r="B228" s="5"/>
      <c r="C228" s="5"/>
      <c r="D228" s="5"/>
      <c r="E228" s="5" t="s">
        <v>26</v>
      </c>
      <c r="F228" s="5">
        <v>5</v>
      </c>
      <c r="G228" s="5">
        <v>5</v>
      </c>
      <c r="H228" s="5">
        <f>R36</f>
        <v>145</v>
      </c>
      <c r="I228" s="16">
        <f t="shared" si="16"/>
        <v>0.73</v>
      </c>
      <c r="J228" s="189">
        <v>14</v>
      </c>
      <c r="K228" s="189">
        <v>22.25</v>
      </c>
      <c r="L228" s="189">
        <v>14.13</v>
      </c>
      <c r="M228" s="189">
        <v>312.77</v>
      </c>
      <c r="N228" s="190">
        <v>658</v>
      </c>
      <c r="O228" s="153">
        <f>(J228+L228)*4+K228*9</f>
        <v>312.77</v>
      </c>
    </row>
    <row r="229" spans="2:15" ht="14.25">
      <c r="B229" s="5"/>
      <c r="C229" s="31"/>
      <c r="D229" s="5"/>
      <c r="E229" s="5" t="s">
        <v>28</v>
      </c>
      <c r="F229" s="5">
        <v>5</v>
      </c>
      <c r="G229" s="5">
        <v>5</v>
      </c>
      <c r="H229" s="5">
        <f>R13</f>
        <v>467</v>
      </c>
      <c r="I229" s="16">
        <f t="shared" si="16"/>
        <v>2.34</v>
      </c>
      <c r="J229" s="76">
        <v>0.02</v>
      </c>
      <c r="K229" s="16">
        <v>3.93</v>
      </c>
      <c r="L229" s="16">
        <v>0.03</v>
      </c>
      <c r="M229" s="16">
        <v>35.57</v>
      </c>
      <c r="N229" s="44"/>
      <c r="O229" s="153">
        <f>(J229+L229)*4+K229*9</f>
        <v>35.57</v>
      </c>
    </row>
    <row r="230" spans="2:15" ht="14.25">
      <c r="B230" s="5">
        <v>3</v>
      </c>
      <c r="C230" s="207" t="s">
        <v>125</v>
      </c>
      <c r="D230" s="5">
        <v>150</v>
      </c>
      <c r="E230" s="5" t="s">
        <v>124</v>
      </c>
      <c r="F230" s="5">
        <v>52</v>
      </c>
      <c r="G230" s="5">
        <v>52</v>
      </c>
      <c r="H230" s="5">
        <f>R40</f>
        <v>85</v>
      </c>
      <c r="I230" s="16">
        <f t="shared" si="16"/>
        <v>4.42</v>
      </c>
      <c r="J230" s="189"/>
      <c r="K230" s="189"/>
      <c r="L230" s="189"/>
      <c r="M230" s="189"/>
      <c r="N230" s="190"/>
      <c r="O230" s="153"/>
    </row>
    <row r="231" spans="2:15" ht="14.25">
      <c r="B231" s="5"/>
      <c r="C231" s="179"/>
      <c r="D231" s="28"/>
      <c r="E231" s="28" t="s">
        <v>28</v>
      </c>
      <c r="F231" s="5">
        <v>8</v>
      </c>
      <c r="G231" s="5">
        <v>8</v>
      </c>
      <c r="H231" s="5">
        <f>R13</f>
        <v>467</v>
      </c>
      <c r="I231" s="16">
        <f t="shared" si="16"/>
        <v>3.74</v>
      </c>
      <c r="J231" s="191">
        <v>8.63</v>
      </c>
      <c r="K231" s="189">
        <v>6.09</v>
      </c>
      <c r="L231" s="189">
        <v>38.64</v>
      </c>
      <c r="M231" s="189">
        <f>(J231+L231)*4+K231*9</f>
        <v>243.89</v>
      </c>
      <c r="N231" s="190">
        <v>302</v>
      </c>
      <c r="O231" s="153">
        <f>(J231+L231)*4+K231*9</f>
        <v>243.89</v>
      </c>
    </row>
    <row r="232" spans="2:18" ht="14.25">
      <c r="B232" s="5">
        <v>4</v>
      </c>
      <c r="C232" s="3" t="s">
        <v>35</v>
      </c>
      <c r="D232" s="15">
        <v>50</v>
      </c>
      <c r="E232" s="5" t="s">
        <v>19</v>
      </c>
      <c r="F232" s="5">
        <v>50</v>
      </c>
      <c r="G232" s="5">
        <v>50</v>
      </c>
      <c r="H232" s="34">
        <f>R60</f>
        <v>48</v>
      </c>
      <c r="I232" s="16">
        <f t="shared" si="16"/>
        <v>2.4</v>
      </c>
      <c r="J232" s="189">
        <v>3.06</v>
      </c>
      <c r="K232" s="189">
        <v>9.54</v>
      </c>
      <c r="L232" s="189">
        <v>18.28</v>
      </c>
      <c r="M232" s="189">
        <f>(J232+L232)*4+K232*9</f>
        <v>171.22</v>
      </c>
      <c r="N232" s="190"/>
      <c r="O232" s="153">
        <f>(J232+L232)*4+K232*9</f>
        <v>171.22</v>
      </c>
      <c r="P232" s="21"/>
      <c r="Q232" s="36"/>
      <c r="R232" s="22"/>
    </row>
    <row r="233" spans="2:18" ht="14.25">
      <c r="B233" s="5">
        <v>5</v>
      </c>
      <c r="C233" s="31" t="s">
        <v>25</v>
      </c>
      <c r="D233" s="5">
        <v>200</v>
      </c>
      <c r="E233" s="5" t="s">
        <v>20</v>
      </c>
      <c r="F233" s="5">
        <v>15</v>
      </c>
      <c r="G233" s="5">
        <v>15</v>
      </c>
      <c r="H233" s="34">
        <f>R32</f>
        <v>140</v>
      </c>
      <c r="I233" s="16">
        <f t="shared" si="16"/>
        <v>2.1</v>
      </c>
      <c r="J233" s="16"/>
      <c r="K233" s="16"/>
      <c r="L233" s="16"/>
      <c r="M233" s="16"/>
      <c r="N233" s="44"/>
      <c r="O233" s="153"/>
      <c r="P233" s="21"/>
      <c r="Q233" s="36"/>
      <c r="R233" s="22"/>
    </row>
    <row r="234" spans="2:18" ht="14.25">
      <c r="B234" s="5"/>
      <c r="C234" s="5"/>
      <c r="D234" s="5"/>
      <c r="E234" s="5" t="s">
        <v>2</v>
      </c>
      <c r="F234" s="5">
        <v>12</v>
      </c>
      <c r="G234" s="5">
        <v>12</v>
      </c>
      <c r="H234" s="34">
        <f>R50</f>
        <v>85</v>
      </c>
      <c r="I234" s="16">
        <f t="shared" si="16"/>
        <v>1.02</v>
      </c>
      <c r="J234" s="192">
        <v>0.04</v>
      </c>
      <c r="K234" s="192">
        <v>0</v>
      </c>
      <c r="L234" s="192">
        <v>24.76</v>
      </c>
      <c r="M234" s="189">
        <f>(J234+L234)*4+K234*9</f>
        <v>99.2</v>
      </c>
      <c r="N234" s="190">
        <v>349</v>
      </c>
      <c r="O234" s="153">
        <f>(J234+L234)*4+K234*9</f>
        <v>99.2</v>
      </c>
      <c r="P234" s="21"/>
      <c r="Q234" s="36"/>
      <c r="R234" s="22"/>
    </row>
    <row r="235" spans="2:18" ht="14.25">
      <c r="B235" s="5"/>
      <c r="C235" s="14"/>
      <c r="D235" s="5"/>
      <c r="E235" s="5" t="s">
        <v>99</v>
      </c>
      <c r="F235" s="34">
        <v>0.0005</v>
      </c>
      <c r="G235" s="34">
        <v>0.0005</v>
      </c>
      <c r="H235" s="34"/>
      <c r="I235" s="16"/>
      <c r="J235" s="16"/>
      <c r="K235" s="16"/>
      <c r="L235" s="16"/>
      <c r="M235" s="16"/>
      <c r="N235" s="44"/>
      <c r="O235" s="153"/>
      <c r="P235" s="21"/>
      <c r="Q235" s="36"/>
      <c r="R235" s="22"/>
    </row>
    <row r="236" spans="2:18" ht="14.25">
      <c r="B236" s="5">
        <v>6</v>
      </c>
      <c r="C236" s="185" t="s">
        <v>131</v>
      </c>
      <c r="D236" s="5">
        <v>100</v>
      </c>
      <c r="E236" s="5" t="s">
        <v>132</v>
      </c>
      <c r="F236" s="34">
        <v>100</v>
      </c>
      <c r="G236" s="34"/>
      <c r="H236" s="34">
        <f>R30</f>
        <v>110</v>
      </c>
      <c r="I236" s="16">
        <f t="shared" si="16"/>
        <v>11</v>
      </c>
      <c r="J236" s="189">
        <v>0.4</v>
      </c>
      <c r="K236" s="189">
        <v>0.4</v>
      </c>
      <c r="L236" s="189">
        <v>9.8</v>
      </c>
      <c r="M236" s="189">
        <v>44.4</v>
      </c>
      <c r="N236" s="190">
        <v>368</v>
      </c>
      <c r="O236" s="153">
        <f>(J236+L236)*4+K236*9</f>
        <v>44.4</v>
      </c>
      <c r="P236" s="21"/>
      <c r="Q236" s="36"/>
      <c r="R236" s="22"/>
    </row>
    <row r="237" spans="2:18" ht="14.25">
      <c r="B237" s="5"/>
      <c r="C237" s="14"/>
      <c r="D237" s="14"/>
      <c r="E237" s="8" t="s">
        <v>159</v>
      </c>
      <c r="F237" s="8">
        <v>2</v>
      </c>
      <c r="G237" s="8">
        <v>2</v>
      </c>
      <c r="H237" s="8">
        <f>R54</f>
        <v>27</v>
      </c>
      <c r="I237" s="16">
        <f>H237*F237/1000</f>
        <v>0.05</v>
      </c>
      <c r="J237" s="16"/>
      <c r="K237" s="16"/>
      <c r="L237" s="16"/>
      <c r="M237" s="16"/>
      <c r="N237" s="44"/>
      <c r="O237" s="153"/>
      <c r="P237" s="21"/>
      <c r="Q237" s="36"/>
      <c r="R237" s="22"/>
    </row>
    <row r="238" spans="2:18" ht="14.25">
      <c r="B238" s="5"/>
      <c r="C238" s="14"/>
      <c r="D238" s="14"/>
      <c r="E238" s="8" t="s">
        <v>93</v>
      </c>
      <c r="F238" s="8">
        <v>0.02</v>
      </c>
      <c r="G238" s="8">
        <v>0.02</v>
      </c>
      <c r="H238" s="8">
        <f>R59</f>
        <v>617</v>
      </c>
      <c r="I238" s="16">
        <f>H238*F238/1000</f>
        <v>0.01</v>
      </c>
      <c r="J238" s="16"/>
      <c r="K238" s="16"/>
      <c r="L238" s="16"/>
      <c r="M238" s="16"/>
      <c r="N238" s="44"/>
      <c r="O238" s="153"/>
      <c r="P238" s="21"/>
      <c r="Q238" s="36"/>
      <c r="R238" s="22"/>
    </row>
    <row r="239" spans="2:18" ht="15">
      <c r="B239" s="5"/>
      <c r="C239" s="8"/>
      <c r="D239" s="195">
        <f>SUM(D218:D238)</f>
        <v>840</v>
      </c>
      <c r="E239" s="5"/>
      <c r="F239" s="5"/>
      <c r="G239" s="5"/>
      <c r="H239" s="5"/>
      <c r="I239" s="68">
        <f>SUM(I218:I238)</f>
        <v>79.8</v>
      </c>
      <c r="J239" s="68">
        <f>SUM(J218:J238)</f>
        <v>32.35</v>
      </c>
      <c r="K239" s="68">
        <f>SUM(K218:K238)</f>
        <v>47.72</v>
      </c>
      <c r="L239" s="68">
        <f>SUM(L218:L238)</f>
        <v>126.19</v>
      </c>
      <c r="M239" s="68">
        <f>SUM(M218:M238)</f>
        <v>1063.64</v>
      </c>
      <c r="N239" s="144"/>
      <c r="O239" s="153">
        <f>(J239+L239)*4+K239*9</f>
        <v>1063.64</v>
      </c>
      <c r="P239" s="21"/>
      <c r="Q239" s="36"/>
      <c r="R239" s="22"/>
    </row>
    <row r="240" spans="2:15" ht="15">
      <c r="B240" s="27"/>
      <c r="C240" s="74"/>
      <c r="D240" s="27"/>
      <c r="E240" s="27"/>
      <c r="O240" s="153"/>
    </row>
    <row r="241" spans="2:15" s="70" customFormat="1" ht="15">
      <c r="B241" s="212"/>
      <c r="C241" s="74" t="s">
        <v>38</v>
      </c>
      <c r="D241" s="212"/>
      <c r="E241" s="212"/>
      <c r="G241" s="70" t="s">
        <v>140</v>
      </c>
      <c r="N241" s="154"/>
      <c r="O241" s="184"/>
    </row>
    <row r="242" spans="2:22" ht="31.5" customHeight="1">
      <c r="B242" s="253" t="s">
        <v>3</v>
      </c>
      <c r="C242" s="8"/>
      <c r="D242" s="8" t="s">
        <v>4</v>
      </c>
      <c r="E242" s="253" t="s">
        <v>29</v>
      </c>
      <c r="F242" s="96" t="s">
        <v>12</v>
      </c>
      <c r="G242" s="96" t="s">
        <v>57</v>
      </c>
      <c r="H242" s="96" t="s">
        <v>30</v>
      </c>
      <c r="I242" s="96" t="s">
        <v>31</v>
      </c>
      <c r="J242" s="252" t="s">
        <v>70</v>
      </c>
      <c r="K242" s="252" t="s">
        <v>71</v>
      </c>
      <c r="L242" s="252" t="s">
        <v>72</v>
      </c>
      <c r="M242" s="252" t="s">
        <v>73</v>
      </c>
      <c r="N242" s="250" t="s">
        <v>144</v>
      </c>
      <c r="O242" s="153"/>
      <c r="S242" s="21"/>
      <c r="T242" s="21"/>
      <c r="U242" s="21"/>
      <c r="V242" s="22"/>
    </row>
    <row r="243" spans="2:22" ht="15">
      <c r="B243" s="254"/>
      <c r="C243" s="71" t="s">
        <v>138</v>
      </c>
      <c r="D243" s="17" t="s">
        <v>32</v>
      </c>
      <c r="E243" s="255"/>
      <c r="F243" s="5" t="s">
        <v>32</v>
      </c>
      <c r="G243" s="5" t="s">
        <v>32</v>
      </c>
      <c r="H243" s="5" t="s">
        <v>33</v>
      </c>
      <c r="I243" s="5" t="s">
        <v>34</v>
      </c>
      <c r="J243" s="256"/>
      <c r="K243" s="256"/>
      <c r="L243" s="256"/>
      <c r="M243" s="256"/>
      <c r="N243" s="256"/>
      <c r="O243" s="153"/>
      <c r="S243" s="21"/>
      <c r="T243" s="21"/>
      <c r="U243" s="21"/>
      <c r="V243" s="22"/>
    </row>
    <row r="244" spans="2:22" ht="14.25">
      <c r="B244" s="8">
        <v>1</v>
      </c>
      <c r="C244" s="133" t="s">
        <v>214</v>
      </c>
      <c r="D244" s="5">
        <v>220</v>
      </c>
      <c r="E244" s="5" t="s">
        <v>16</v>
      </c>
      <c r="F244" s="5">
        <v>82</v>
      </c>
      <c r="G244" s="5">
        <v>82</v>
      </c>
      <c r="H244" s="5">
        <f>R6</f>
        <v>622</v>
      </c>
      <c r="I244" s="16">
        <f aca="true" t="shared" si="17" ref="I244:I258">H244*F244/1000</f>
        <v>51</v>
      </c>
      <c r="J244" s="16"/>
      <c r="K244" s="16"/>
      <c r="L244" s="16"/>
      <c r="M244" s="16"/>
      <c r="N244" s="44"/>
      <c r="O244" s="153"/>
      <c r="S244" s="21"/>
      <c r="T244" s="21"/>
      <c r="U244" s="21"/>
      <c r="V244" s="22"/>
    </row>
    <row r="245" spans="2:22" ht="14.25">
      <c r="B245" s="8"/>
      <c r="C245" s="5"/>
      <c r="D245" s="5"/>
      <c r="E245" s="5" t="s">
        <v>26</v>
      </c>
      <c r="F245" s="5">
        <v>4</v>
      </c>
      <c r="G245" s="5">
        <v>4</v>
      </c>
      <c r="H245" s="5">
        <f>R36</f>
        <v>145</v>
      </c>
      <c r="I245" s="16">
        <f t="shared" si="17"/>
        <v>0.58</v>
      </c>
      <c r="J245" s="16"/>
      <c r="K245" s="16"/>
      <c r="L245" s="16"/>
      <c r="M245" s="16"/>
      <c r="N245" s="44"/>
      <c r="O245" s="153"/>
      <c r="S245" s="21"/>
      <c r="T245" s="21"/>
      <c r="U245" s="21"/>
      <c r="V245" s="22"/>
    </row>
    <row r="246" spans="2:22" ht="14.25">
      <c r="B246" s="5"/>
      <c r="C246" s="5"/>
      <c r="D246" s="5"/>
      <c r="E246" s="5" t="s">
        <v>22</v>
      </c>
      <c r="F246" s="5">
        <v>63</v>
      </c>
      <c r="G246" s="5">
        <v>63</v>
      </c>
      <c r="H246" s="141">
        <f>R51</f>
        <v>46</v>
      </c>
      <c r="I246" s="16">
        <f t="shared" si="17"/>
        <v>2.9</v>
      </c>
      <c r="J246" s="16"/>
      <c r="K246" s="16"/>
      <c r="L246" s="16"/>
      <c r="M246" s="16"/>
      <c r="N246" s="44"/>
      <c r="O246" s="153"/>
      <c r="S246" s="21"/>
      <c r="T246" s="21"/>
      <c r="U246" s="21"/>
      <c r="V246" s="22"/>
    </row>
    <row r="247" spans="2:22" ht="14.25">
      <c r="B247" s="5"/>
      <c r="C247" s="5"/>
      <c r="D247" s="5"/>
      <c r="E247" s="5" t="s">
        <v>146</v>
      </c>
      <c r="F247" s="5">
        <v>7</v>
      </c>
      <c r="G247" s="5">
        <v>7</v>
      </c>
      <c r="H247" s="141">
        <f>R60</f>
        <v>48</v>
      </c>
      <c r="I247" s="16">
        <f t="shared" si="17"/>
        <v>0.34</v>
      </c>
      <c r="J247" s="16"/>
      <c r="K247" s="16"/>
      <c r="L247" s="16"/>
      <c r="M247" s="16"/>
      <c r="N247" s="44"/>
      <c r="O247" s="153"/>
      <c r="S247" s="21"/>
      <c r="T247" s="21"/>
      <c r="U247" s="21"/>
      <c r="V247" s="22"/>
    </row>
    <row r="248" spans="2:22" ht="14.25">
      <c r="B248" s="5"/>
      <c r="C248" s="5"/>
      <c r="D248" s="5"/>
      <c r="E248" s="5" t="s">
        <v>11</v>
      </c>
      <c r="F248" s="5">
        <v>0.16</v>
      </c>
      <c r="G248" s="5">
        <v>0.16</v>
      </c>
      <c r="H248" s="16">
        <f>R5</f>
        <v>13.5</v>
      </c>
      <c r="I248" s="16">
        <f>H248*F248</f>
        <v>2.16</v>
      </c>
      <c r="J248" s="16"/>
      <c r="K248" s="16"/>
      <c r="L248" s="16"/>
      <c r="M248" s="16"/>
      <c r="N248" s="44"/>
      <c r="O248" s="153"/>
      <c r="S248" s="21"/>
      <c r="T248" s="21"/>
      <c r="U248" s="21"/>
      <c r="V248" s="22"/>
    </row>
    <row r="249" spans="2:22" ht="14.25">
      <c r="B249" s="5"/>
      <c r="C249" s="5"/>
      <c r="D249" s="5"/>
      <c r="E249" s="5" t="s">
        <v>6</v>
      </c>
      <c r="F249" s="5">
        <v>17</v>
      </c>
      <c r="G249" s="5">
        <v>15</v>
      </c>
      <c r="H249" s="141">
        <f>R23</f>
        <v>49</v>
      </c>
      <c r="I249" s="16">
        <f t="shared" si="17"/>
        <v>0.83</v>
      </c>
      <c r="J249" s="189"/>
      <c r="K249" s="189"/>
      <c r="L249" s="189"/>
      <c r="M249" s="189"/>
      <c r="N249" s="190"/>
      <c r="O249" s="153"/>
      <c r="S249" s="21"/>
      <c r="T249" s="21"/>
      <c r="U249" s="21"/>
      <c r="V249" s="22"/>
    </row>
    <row r="250" spans="2:22" ht="14.25">
      <c r="B250" s="5"/>
      <c r="C250" s="31"/>
      <c r="D250" s="5"/>
      <c r="E250" s="5" t="s">
        <v>28</v>
      </c>
      <c r="F250" s="5">
        <v>11</v>
      </c>
      <c r="G250" s="5">
        <v>11</v>
      </c>
      <c r="H250" s="141">
        <f>R13</f>
        <v>467</v>
      </c>
      <c r="I250" s="16">
        <f t="shared" si="17"/>
        <v>5.14</v>
      </c>
      <c r="J250" s="16">
        <v>20.35</v>
      </c>
      <c r="K250" s="16">
        <v>20.13</v>
      </c>
      <c r="L250" s="16">
        <v>31.9</v>
      </c>
      <c r="M250" s="16">
        <v>390.17</v>
      </c>
      <c r="N250" s="44">
        <v>87</v>
      </c>
      <c r="O250" s="153">
        <f>(J250+L250)*4+K250*9</f>
        <v>390.17</v>
      </c>
      <c r="S250" s="21"/>
      <c r="T250" s="21"/>
      <c r="U250" s="21"/>
      <c r="V250" s="22"/>
    </row>
    <row r="251" spans="2:15" ht="14.25">
      <c r="B251" s="5">
        <v>2</v>
      </c>
      <c r="C251" s="31" t="s">
        <v>153</v>
      </c>
      <c r="D251" s="5">
        <v>60</v>
      </c>
      <c r="E251" s="12" t="s">
        <v>98</v>
      </c>
      <c r="F251" s="19">
        <v>61</v>
      </c>
      <c r="G251" s="19">
        <v>55</v>
      </c>
      <c r="H251" s="5">
        <f>R26</f>
        <v>74</v>
      </c>
      <c r="I251" s="16">
        <f t="shared" si="17"/>
        <v>4.51</v>
      </c>
      <c r="J251" s="191"/>
      <c r="K251" s="191"/>
      <c r="L251" s="191"/>
      <c r="M251" s="189"/>
      <c r="N251" s="190"/>
      <c r="O251" s="153"/>
    </row>
    <row r="252" spans="2:15" ht="14.25">
      <c r="B252" s="5"/>
      <c r="C252" s="31"/>
      <c r="D252" s="5"/>
      <c r="E252" s="12" t="s">
        <v>6</v>
      </c>
      <c r="F252" s="19">
        <v>12</v>
      </c>
      <c r="G252" s="19">
        <v>10</v>
      </c>
      <c r="H252" s="5">
        <f>R23</f>
        <v>49</v>
      </c>
      <c r="I252" s="16">
        <f t="shared" si="17"/>
        <v>0.59</v>
      </c>
      <c r="J252" s="191"/>
      <c r="K252" s="191"/>
      <c r="L252" s="191"/>
      <c r="M252" s="189"/>
      <c r="N252" s="190"/>
      <c r="O252" s="153"/>
    </row>
    <row r="253" spans="2:15" ht="14.25">
      <c r="B253" s="5"/>
      <c r="C253" s="31"/>
      <c r="D253" s="5"/>
      <c r="E253" s="12" t="s">
        <v>26</v>
      </c>
      <c r="F253" s="19">
        <v>3</v>
      </c>
      <c r="G253" s="19">
        <v>3</v>
      </c>
      <c r="H253" s="5">
        <f>R36</f>
        <v>145</v>
      </c>
      <c r="I253" s="16">
        <f t="shared" si="17"/>
        <v>0.44</v>
      </c>
      <c r="J253" s="76">
        <v>2.59</v>
      </c>
      <c r="K253" s="76">
        <v>7.3</v>
      </c>
      <c r="L253" s="76">
        <v>2.5</v>
      </c>
      <c r="M253" s="76">
        <v>86.06</v>
      </c>
      <c r="N253" s="190">
        <v>19</v>
      </c>
      <c r="O253" s="153">
        <f>(J253+L253)*4+K253*9</f>
        <v>86.06</v>
      </c>
    </row>
    <row r="254" spans="2:15" ht="14.25">
      <c r="B254" s="5">
        <v>3</v>
      </c>
      <c r="C254" s="3" t="s">
        <v>13</v>
      </c>
      <c r="D254" s="5">
        <v>200</v>
      </c>
      <c r="E254" s="5" t="s">
        <v>51</v>
      </c>
      <c r="F254" s="5">
        <v>1</v>
      </c>
      <c r="G254" s="5">
        <v>1</v>
      </c>
      <c r="H254" s="5">
        <f>R58</f>
        <v>507</v>
      </c>
      <c r="I254" s="16">
        <f t="shared" si="17"/>
        <v>0.51</v>
      </c>
      <c r="J254" s="16"/>
      <c r="K254" s="16"/>
      <c r="L254" s="16"/>
      <c r="M254" s="16"/>
      <c r="N254" s="44"/>
      <c r="O254" s="153"/>
    </row>
    <row r="255" spans="2:15" ht="14.25">
      <c r="B255" s="5"/>
      <c r="C255" s="5"/>
      <c r="D255" s="5"/>
      <c r="E255" s="5" t="s">
        <v>2</v>
      </c>
      <c r="F255" s="5">
        <v>10</v>
      </c>
      <c r="G255" s="5">
        <v>10</v>
      </c>
      <c r="H255" s="5">
        <f>R50</f>
        <v>85</v>
      </c>
      <c r="I255" s="16">
        <f t="shared" si="17"/>
        <v>0.85</v>
      </c>
      <c r="J255" s="76">
        <v>0.2</v>
      </c>
      <c r="K255" s="76">
        <v>0</v>
      </c>
      <c r="L255" s="76">
        <v>14</v>
      </c>
      <c r="M255" s="76">
        <v>56.8</v>
      </c>
      <c r="N255" s="44">
        <v>376</v>
      </c>
      <c r="O255" s="153">
        <f>(J255+L255)*4+K255*9</f>
        <v>56.8</v>
      </c>
    </row>
    <row r="256" spans="2:15" ht="14.25">
      <c r="B256" s="5">
        <v>4</v>
      </c>
      <c r="C256" s="31" t="s">
        <v>35</v>
      </c>
      <c r="D256" s="5">
        <v>45</v>
      </c>
      <c r="E256" s="5" t="s">
        <v>19</v>
      </c>
      <c r="F256" s="5">
        <v>45</v>
      </c>
      <c r="G256" s="5">
        <v>45</v>
      </c>
      <c r="H256" s="5">
        <f>R60</f>
        <v>48</v>
      </c>
      <c r="I256" s="16">
        <f t="shared" si="17"/>
        <v>2.16</v>
      </c>
      <c r="J256" s="189">
        <v>2.75</v>
      </c>
      <c r="K256" s="189">
        <v>8.59</v>
      </c>
      <c r="L256" s="189">
        <v>16.45</v>
      </c>
      <c r="M256" s="189">
        <v>154.11</v>
      </c>
      <c r="N256" s="190"/>
      <c r="O256" s="153">
        <f>(J256+L256)*4+K256*9</f>
        <v>154.11</v>
      </c>
    </row>
    <row r="257" spans="2:15" ht="14.25">
      <c r="B257" s="5">
        <v>5</v>
      </c>
      <c r="C257" s="185" t="s">
        <v>131</v>
      </c>
      <c r="D257" s="5">
        <v>70</v>
      </c>
      <c r="E257" s="5" t="s">
        <v>132</v>
      </c>
      <c r="F257" s="34">
        <v>70</v>
      </c>
      <c r="G257" s="34"/>
      <c r="H257" s="5">
        <f>R30</f>
        <v>110</v>
      </c>
      <c r="I257" s="16">
        <f t="shared" si="17"/>
        <v>7.7</v>
      </c>
      <c r="J257" s="189">
        <v>0.28</v>
      </c>
      <c r="K257" s="189">
        <v>0.28</v>
      </c>
      <c r="L257" s="189">
        <v>6.86</v>
      </c>
      <c r="M257" s="189">
        <v>31.08</v>
      </c>
      <c r="N257" s="190">
        <v>368</v>
      </c>
      <c r="O257" s="153">
        <f>(J257+L257)*4+K257*9</f>
        <v>31.08</v>
      </c>
    </row>
    <row r="258" spans="2:15" ht="14.25">
      <c r="B258" s="5"/>
      <c r="C258" s="5"/>
      <c r="D258" s="5"/>
      <c r="E258" s="5" t="s">
        <v>159</v>
      </c>
      <c r="F258" s="5">
        <v>3.5</v>
      </c>
      <c r="G258" s="5">
        <v>3.5</v>
      </c>
      <c r="H258" s="5">
        <f>R54</f>
        <v>27</v>
      </c>
      <c r="I258" s="16">
        <f t="shared" si="17"/>
        <v>0.09</v>
      </c>
      <c r="J258" s="16"/>
      <c r="K258" s="16"/>
      <c r="L258" s="16"/>
      <c r="M258" s="16"/>
      <c r="N258" s="44"/>
      <c r="O258" s="153"/>
    </row>
    <row r="259" spans="2:15" ht="15">
      <c r="B259" s="5"/>
      <c r="C259" s="5"/>
      <c r="D259" s="195">
        <f>SUM(D244:D258)</f>
        <v>595</v>
      </c>
      <c r="E259" s="5"/>
      <c r="F259" s="5"/>
      <c r="G259" s="5"/>
      <c r="H259" s="34"/>
      <c r="I259" s="68">
        <f>SUM(I244:I258)</f>
        <v>79.8</v>
      </c>
      <c r="J259" s="68">
        <f>SUM(J244:J258)</f>
        <v>26.17</v>
      </c>
      <c r="K259" s="68">
        <f>SUM(K244:K258)</f>
        <v>36.3</v>
      </c>
      <c r="L259" s="68">
        <f>SUM(L244:L258)</f>
        <v>71.71</v>
      </c>
      <c r="M259" s="68">
        <f>SUM(M244:M258)</f>
        <v>718.22</v>
      </c>
      <c r="N259" s="144"/>
      <c r="O259" s="153">
        <f>(J259+L259)*4+K259*9</f>
        <v>718.22</v>
      </c>
    </row>
    <row r="260" spans="2:15" s="70" customFormat="1" ht="15">
      <c r="B260" s="34"/>
      <c r="C260" s="219" t="s">
        <v>139</v>
      </c>
      <c r="D260" s="220"/>
      <c r="E260" s="220"/>
      <c r="F260" s="34"/>
      <c r="G260" s="34"/>
      <c r="H260" s="34"/>
      <c r="I260" s="76"/>
      <c r="J260" s="76"/>
      <c r="K260" s="76"/>
      <c r="L260" s="76"/>
      <c r="M260" s="76"/>
      <c r="N260" s="44"/>
      <c r="O260" s="184"/>
    </row>
    <row r="261" spans="2:15" ht="14.25">
      <c r="B261" s="5">
        <v>1</v>
      </c>
      <c r="C261" s="3" t="s">
        <v>122</v>
      </c>
      <c r="D261" s="34" t="s">
        <v>176</v>
      </c>
      <c r="E261" s="8" t="s">
        <v>7</v>
      </c>
      <c r="F261" s="5">
        <v>96</v>
      </c>
      <c r="G261" s="5">
        <v>60</v>
      </c>
      <c r="H261" s="5">
        <f>R21</f>
        <v>54</v>
      </c>
      <c r="I261" s="16">
        <f aca="true" t="shared" si="18" ref="I261:I273">H261*F261/1000</f>
        <v>5.18</v>
      </c>
      <c r="J261" s="16"/>
      <c r="K261" s="16"/>
      <c r="L261" s="16"/>
      <c r="M261" s="16"/>
      <c r="N261" s="44"/>
      <c r="O261" s="153"/>
    </row>
    <row r="262" spans="2:15" ht="14.25">
      <c r="B262" s="5"/>
      <c r="C262" s="3" t="s">
        <v>151</v>
      </c>
      <c r="D262" s="5"/>
      <c r="E262" s="5" t="s">
        <v>123</v>
      </c>
      <c r="F262" s="5">
        <v>8</v>
      </c>
      <c r="G262" s="5">
        <v>8</v>
      </c>
      <c r="H262" s="5">
        <f>R47</f>
        <v>48</v>
      </c>
      <c r="I262" s="16">
        <f t="shared" si="18"/>
        <v>0.38</v>
      </c>
      <c r="J262" s="16"/>
      <c r="K262" s="16"/>
      <c r="L262" s="16"/>
      <c r="M262" s="16"/>
      <c r="N262" s="44"/>
      <c r="O262" s="153"/>
    </row>
    <row r="263" spans="2:21" ht="14.25">
      <c r="B263" s="5"/>
      <c r="C263" s="3"/>
      <c r="D263" s="5"/>
      <c r="E263" s="5" t="s">
        <v>8</v>
      </c>
      <c r="F263" s="5">
        <v>10</v>
      </c>
      <c r="G263" s="5">
        <v>8</v>
      </c>
      <c r="H263" s="34">
        <f>R24</f>
        <v>60</v>
      </c>
      <c r="I263" s="16">
        <f t="shared" si="18"/>
        <v>0.6</v>
      </c>
      <c r="J263" s="16"/>
      <c r="K263" s="16"/>
      <c r="L263" s="16"/>
      <c r="M263" s="16"/>
      <c r="N263" s="44"/>
      <c r="O263" s="153"/>
      <c r="S263" s="21"/>
      <c r="T263" s="36"/>
      <c r="U263" s="22"/>
    </row>
    <row r="264" spans="2:15" ht="14.25">
      <c r="B264" s="5"/>
      <c r="C264" s="3"/>
      <c r="D264" s="5"/>
      <c r="E264" s="5" t="s">
        <v>6</v>
      </c>
      <c r="F264" s="5">
        <v>10</v>
      </c>
      <c r="G264" s="5">
        <v>9</v>
      </c>
      <c r="H264" s="34">
        <f>R23</f>
        <v>49</v>
      </c>
      <c r="I264" s="16">
        <f t="shared" si="18"/>
        <v>0.49</v>
      </c>
      <c r="J264" s="16"/>
      <c r="K264" s="16"/>
      <c r="L264" s="16"/>
      <c r="M264" s="16"/>
      <c r="N264" s="44"/>
      <c r="O264" s="153"/>
    </row>
    <row r="265" spans="2:15" ht="14.25">
      <c r="B265" s="5"/>
      <c r="C265" s="3"/>
      <c r="D265" s="5"/>
      <c r="E265" s="5" t="s">
        <v>98</v>
      </c>
      <c r="F265" s="5">
        <v>20</v>
      </c>
      <c r="G265" s="5">
        <v>14</v>
      </c>
      <c r="H265" s="34">
        <f>R26</f>
        <v>74</v>
      </c>
      <c r="I265" s="16">
        <f t="shared" si="18"/>
        <v>1.48</v>
      </c>
      <c r="J265" s="16"/>
      <c r="K265" s="16"/>
      <c r="L265" s="16"/>
      <c r="M265" s="16"/>
      <c r="N265" s="44"/>
      <c r="O265" s="153"/>
    </row>
    <row r="266" spans="2:15" ht="14.25">
      <c r="B266" s="5"/>
      <c r="C266" s="3"/>
      <c r="D266" s="5"/>
      <c r="E266" s="5" t="s">
        <v>26</v>
      </c>
      <c r="F266" s="5">
        <v>4</v>
      </c>
      <c r="G266" s="5">
        <v>4</v>
      </c>
      <c r="H266" s="34">
        <f>R36</f>
        <v>145</v>
      </c>
      <c r="I266" s="16">
        <f t="shared" si="18"/>
        <v>0.58</v>
      </c>
      <c r="J266" s="166">
        <v>2.54</v>
      </c>
      <c r="K266" s="166">
        <v>4.35</v>
      </c>
      <c r="L266" s="166">
        <v>17.18</v>
      </c>
      <c r="M266" s="166">
        <v>118.03</v>
      </c>
      <c r="N266" s="44">
        <v>208</v>
      </c>
      <c r="O266" s="153">
        <f>(J266+L266)*4+K266*9</f>
        <v>118.03</v>
      </c>
    </row>
    <row r="267" spans="2:15" ht="14.25">
      <c r="B267" s="5"/>
      <c r="C267" s="3"/>
      <c r="D267" s="5"/>
      <c r="E267" s="8" t="s">
        <v>9</v>
      </c>
      <c r="F267" s="5">
        <v>10</v>
      </c>
      <c r="G267" s="5">
        <v>10</v>
      </c>
      <c r="H267" s="34">
        <f>R14</f>
        <v>199</v>
      </c>
      <c r="I267" s="16">
        <f t="shared" si="18"/>
        <v>1.99</v>
      </c>
      <c r="J267" s="166">
        <v>0.22</v>
      </c>
      <c r="K267" s="166">
        <v>2.82</v>
      </c>
      <c r="L267" s="166">
        <v>0.32</v>
      </c>
      <c r="M267" s="166">
        <v>27.54</v>
      </c>
      <c r="N267" s="44"/>
      <c r="O267" s="153">
        <f>(J267+L267)*4+K267*9</f>
        <v>27.54</v>
      </c>
    </row>
    <row r="268" spans="2:15" ht="14.25">
      <c r="B268" s="5">
        <v>2</v>
      </c>
      <c r="C268" s="133" t="s">
        <v>214</v>
      </c>
      <c r="D268" s="5">
        <v>200</v>
      </c>
      <c r="E268" s="5" t="s">
        <v>16</v>
      </c>
      <c r="F268" s="5">
        <v>75</v>
      </c>
      <c r="G268" s="5">
        <v>75</v>
      </c>
      <c r="H268" s="34">
        <f>R6</f>
        <v>622</v>
      </c>
      <c r="I268" s="16">
        <f t="shared" si="18"/>
        <v>46.65</v>
      </c>
      <c r="J268" s="16"/>
      <c r="K268" s="16"/>
      <c r="L268" s="16"/>
      <c r="M268" s="16"/>
      <c r="N268" s="44"/>
      <c r="O268" s="153"/>
    </row>
    <row r="269" spans="2:15" ht="14.25">
      <c r="B269" s="5"/>
      <c r="C269" s="5"/>
      <c r="D269" s="5"/>
      <c r="E269" s="5" t="s">
        <v>26</v>
      </c>
      <c r="F269" s="5">
        <v>4</v>
      </c>
      <c r="G269" s="5">
        <v>4</v>
      </c>
      <c r="H269" s="34">
        <f>R36</f>
        <v>145</v>
      </c>
      <c r="I269" s="16">
        <f t="shared" si="18"/>
        <v>0.58</v>
      </c>
      <c r="J269" s="16"/>
      <c r="K269" s="16"/>
      <c r="L269" s="16"/>
      <c r="M269" s="16"/>
      <c r="N269" s="44"/>
      <c r="O269" s="153"/>
    </row>
    <row r="270" spans="2:15" ht="14.25">
      <c r="B270" s="5"/>
      <c r="C270" s="5"/>
      <c r="D270" s="5"/>
      <c r="E270" s="5" t="s">
        <v>22</v>
      </c>
      <c r="F270" s="5">
        <v>57</v>
      </c>
      <c r="G270" s="5">
        <v>57</v>
      </c>
      <c r="H270" s="34">
        <f>R51</f>
        <v>46</v>
      </c>
      <c r="I270" s="16">
        <f t="shared" si="18"/>
        <v>2.62</v>
      </c>
      <c r="J270" s="16"/>
      <c r="K270" s="16"/>
      <c r="L270" s="16"/>
      <c r="M270" s="16"/>
      <c r="N270" s="44"/>
      <c r="O270" s="153"/>
    </row>
    <row r="271" spans="2:15" ht="14.25">
      <c r="B271" s="5"/>
      <c r="C271" s="5"/>
      <c r="D271" s="5"/>
      <c r="E271" s="5" t="s">
        <v>146</v>
      </c>
      <c r="F271" s="5">
        <v>6</v>
      </c>
      <c r="G271" s="5">
        <v>6</v>
      </c>
      <c r="H271" s="34">
        <f>R60</f>
        <v>48</v>
      </c>
      <c r="I271" s="16">
        <f t="shared" si="18"/>
        <v>0.29</v>
      </c>
      <c r="J271" s="16"/>
      <c r="K271" s="16"/>
      <c r="L271" s="16"/>
      <c r="M271" s="16"/>
      <c r="N271" s="44"/>
      <c r="O271" s="153"/>
    </row>
    <row r="272" spans="2:15" ht="14.25">
      <c r="B272" s="5"/>
      <c r="C272" s="5"/>
      <c r="D272" s="5"/>
      <c r="E272" s="5" t="s">
        <v>11</v>
      </c>
      <c r="F272" s="5">
        <v>0.14</v>
      </c>
      <c r="G272" s="5">
        <v>0.14</v>
      </c>
      <c r="H272" s="76">
        <f>R5</f>
        <v>13.5</v>
      </c>
      <c r="I272" s="16">
        <f>H272*F272</f>
        <v>1.89</v>
      </c>
      <c r="J272" s="16"/>
      <c r="K272" s="16"/>
      <c r="L272" s="16"/>
      <c r="M272" s="16"/>
      <c r="N272" s="44"/>
      <c r="O272" s="153"/>
    </row>
    <row r="273" spans="2:15" ht="14.25">
      <c r="B273" s="5"/>
      <c r="C273" s="5"/>
      <c r="D273" s="5"/>
      <c r="E273" s="5" t="s">
        <v>6</v>
      </c>
      <c r="F273" s="5">
        <v>15</v>
      </c>
      <c r="G273" s="5">
        <v>13</v>
      </c>
      <c r="H273" s="34">
        <f>R23</f>
        <v>49</v>
      </c>
      <c r="I273" s="16">
        <f t="shared" si="18"/>
        <v>0.74</v>
      </c>
      <c r="J273" s="189"/>
      <c r="K273" s="189"/>
      <c r="L273" s="189"/>
      <c r="M273" s="189"/>
      <c r="N273" s="190"/>
      <c r="O273" s="153"/>
    </row>
    <row r="274" spans="2:16" ht="15">
      <c r="B274" s="5"/>
      <c r="C274" s="31"/>
      <c r="D274" s="5"/>
      <c r="E274" s="5" t="s">
        <v>28</v>
      </c>
      <c r="F274" s="5">
        <v>10</v>
      </c>
      <c r="G274" s="5">
        <v>10</v>
      </c>
      <c r="H274" s="5">
        <f>R13</f>
        <v>467</v>
      </c>
      <c r="I274" s="16">
        <f>F274*H274/1000</f>
        <v>4.67</v>
      </c>
      <c r="J274" s="16">
        <v>18.5</v>
      </c>
      <c r="K274" s="16">
        <v>18.3</v>
      </c>
      <c r="L274" s="16">
        <v>29</v>
      </c>
      <c r="M274" s="16">
        <v>354.7</v>
      </c>
      <c r="N274" s="44">
        <v>87</v>
      </c>
      <c r="O274" s="153">
        <f>(J274+L274)*4+K274*9</f>
        <v>354.7</v>
      </c>
      <c r="P274" s="40"/>
    </row>
    <row r="275" spans="2:15" ht="14.25">
      <c r="B275" s="5">
        <v>3</v>
      </c>
      <c r="C275" s="31" t="s">
        <v>35</v>
      </c>
      <c r="D275" s="15">
        <v>50</v>
      </c>
      <c r="E275" s="5" t="s">
        <v>19</v>
      </c>
      <c r="F275" s="5">
        <v>50</v>
      </c>
      <c r="G275" s="5">
        <v>50</v>
      </c>
      <c r="H275" s="34">
        <f>R60</f>
        <v>48</v>
      </c>
      <c r="I275" s="16">
        <f>F275*H275/1000</f>
        <v>2.4</v>
      </c>
      <c r="J275" s="189">
        <v>3.06</v>
      </c>
      <c r="K275" s="189">
        <v>9.54</v>
      </c>
      <c r="L275" s="189">
        <v>18.28</v>
      </c>
      <c r="M275" s="189">
        <f>(J275+L275)*4+K275*9</f>
        <v>171.22</v>
      </c>
      <c r="N275" s="190"/>
      <c r="O275" s="153">
        <f>(J275+L275)*4+K275*9</f>
        <v>171.22</v>
      </c>
    </row>
    <row r="276" spans="2:15" ht="14.25">
      <c r="B276" s="5">
        <v>4</v>
      </c>
      <c r="C276" s="31" t="s">
        <v>25</v>
      </c>
      <c r="D276" s="5">
        <v>200</v>
      </c>
      <c r="E276" s="5" t="s">
        <v>20</v>
      </c>
      <c r="F276" s="5">
        <v>14</v>
      </c>
      <c r="G276" s="5">
        <v>14</v>
      </c>
      <c r="H276" s="34">
        <f>R32</f>
        <v>140</v>
      </c>
      <c r="I276" s="16">
        <f>F276*H276/1000</f>
        <v>1.96</v>
      </c>
      <c r="J276" s="16"/>
      <c r="K276" s="16"/>
      <c r="L276" s="16"/>
      <c r="M276" s="16"/>
      <c r="N276" s="44"/>
      <c r="O276" s="153"/>
    </row>
    <row r="277" spans="2:15" ht="14.25">
      <c r="B277" s="5"/>
      <c r="C277" s="5"/>
      <c r="D277" s="5"/>
      <c r="E277" s="5" t="s">
        <v>2</v>
      </c>
      <c r="F277" s="5">
        <v>14</v>
      </c>
      <c r="G277" s="5">
        <v>14</v>
      </c>
      <c r="H277" s="34">
        <f>R50</f>
        <v>85</v>
      </c>
      <c r="I277" s="16">
        <f>F277*H277/1000</f>
        <v>1.19</v>
      </c>
      <c r="J277" s="192">
        <v>0.04</v>
      </c>
      <c r="K277" s="192">
        <v>0</v>
      </c>
      <c r="L277" s="192">
        <v>24.76</v>
      </c>
      <c r="M277" s="189">
        <f>(J277+L277)*4+K277*9</f>
        <v>99.2</v>
      </c>
      <c r="N277" s="190">
        <v>349</v>
      </c>
      <c r="O277" s="153">
        <f>(J277+L277)*4+K277*9</f>
        <v>99.2</v>
      </c>
    </row>
    <row r="278" spans="2:15" ht="14.25">
      <c r="B278" s="5"/>
      <c r="C278" s="14"/>
      <c r="D278" s="5"/>
      <c r="E278" s="5" t="s">
        <v>99</v>
      </c>
      <c r="F278" s="34">
        <v>0.0005</v>
      </c>
      <c r="G278" s="34">
        <v>0.0005</v>
      </c>
      <c r="H278" s="34"/>
      <c r="I278" s="16"/>
      <c r="J278" s="5"/>
      <c r="K278" s="5"/>
      <c r="L278" s="5"/>
      <c r="M278" s="5"/>
      <c r="N278" s="44"/>
      <c r="O278" s="153"/>
    </row>
    <row r="279" spans="2:15" ht="14.25">
      <c r="B279" s="5">
        <v>5</v>
      </c>
      <c r="C279" s="185" t="s">
        <v>131</v>
      </c>
      <c r="D279" s="5">
        <v>55</v>
      </c>
      <c r="E279" s="5" t="s">
        <v>132</v>
      </c>
      <c r="F279" s="34">
        <v>55</v>
      </c>
      <c r="G279" s="34"/>
      <c r="H279" s="34">
        <f>R30</f>
        <v>110</v>
      </c>
      <c r="I279" s="16">
        <f>F279*H279/1000</f>
        <v>6.05</v>
      </c>
      <c r="J279" s="189">
        <v>0.22</v>
      </c>
      <c r="K279" s="189">
        <v>0.22</v>
      </c>
      <c r="L279" s="189">
        <v>5.39</v>
      </c>
      <c r="M279" s="189">
        <v>24.42</v>
      </c>
      <c r="N279" s="190">
        <v>368</v>
      </c>
      <c r="O279" s="153">
        <f>(J279+L279)*4+K279*9</f>
        <v>24.42</v>
      </c>
    </row>
    <row r="280" spans="2:15" ht="14.25">
      <c r="B280" s="5"/>
      <c r="C280" s="14"/>
      <c r="D280" s="5"/>
      <c r="E280" s="5" t="s">
        <v>159</v>
      </c>
      <c r="F280" s="5">
        <v>2</v>
      </c>
      <c r="G280" s="5">
        <v>2</v>
      </c>
      <c r="H280" s="5">
        <f>R54</f>
        <v>27</v>
      </c>
      <c r="I280" s="16">
        <f>F280*H280/1000</f>
        <v>0.05</v>
      </c>
      <c r="J280" s="16"/>
      <c r="K280" s="16"/>
      <c r="L280" s="16"/>
      <c r="M280" s="16"/>
      <c r="N280" s="44"/>
      <c r="O280" s="153"/>
    </row>
    <row r="281" spans="2:15" ht="14.25">
      <c r="B281" s="5"/>
      <c r="C281" s="14"/>
      <c r="D281" s="5"/>
      <c r="E281" s="5" t="s">
        <v>93</v>
      </c>
      <c r="F281" s="5">
        <v>0.02</v>
      </c>
      <c r="G281" s="5">
        <v>0.02</v>
      </c>
      <c r="H281" s="5">
        <f>R59</f>
        <v>617</v>
      </c>
      <c r="I281" s="16">
        <f>F281*H281/1000</f>
        <v>0.01</v>
      </c>
      <c r="J281" s="16"/>
      <c r="K281" s="16"/>
      <c r="L281" s="16"/>
      <c r="M281" s="16"/>
      <c r="N281" s="44"/>
      <c r="O281" s="153"/>
    </row>
    <row r="282" spans="2:15" ht="15">
      <c r="B282" s="5"/>
      <c r="C282" s="14"/>
      <c r="D282" s="195">
        <v>715</v>
      </c>
      <c r="E282" s="14"/>
      <c r="F282" s="5"/>
      <c r="G282" s="5"/>
      <c r="H282" s="39"/>
      <c r="I282" s="68">
        <f>SUM(I261:I281)</f>
        <v>79.8</v>
      </c>
      <c r="J282" s="68">
        <f>SUM(J261:J281)</f>
        <v>24.58</v>
      </c>
      <c r="K282" s="68">
        <f>SUM(K261:K281)</f>
        <v>35.23</v>
      </c>
      <c r="L282" s="68">
        <f>SUM(L261:L281)</f>
        <v>94.93</v>
      </c>
      <c r="M282" s="68">
        <f>SUM(M261:M281)</f>
        <v>795.11</v>
      </c>
      <c r="N282" s="144"/>
      <c r="O282" s="153">
        <f>(J282+L282)*4+K282*9</f>
        <v>795.11</v>
      </c>
    </row>
    <row r="283" spans="2:15" ht="15">
      <c r="B283" s="21"/>
      <c r="C283" s="20"/>
      <c r="D283" s="21"/>
      <c r="E283" s="20"/>
      <c r="F283" s="21"/>
      <c r="G283" s="21"/>
      <c r="H283" s="140"/>
      <c r="I283" s="91"/>
      <c r="J283" s="91"/>
      <c r="K283" s="91"/>
      <c r="L283" s="91"/>
      <c r="M283" s="91"/>
      <c r="N283" s="145"/>
      <c r="O283" s="153"/>
    </row>
    <row r="284" spans="2:15" s="70" customFormat="1" ht="15">
      <c r="B284" s="212"/>
      <c r="C284" s="74" t="s">
        <v>39</v>
      </c>
      <c r="D284" s="138"/>
      <c r="E284" s="212"/>
      <c r="N284" s="154"/>
      <c r="O284" s="184"/>
    </row>
    <row r="285" spans="2:15" ht="28.5">
      <c r="B285" s="253" t="s">
        <v>3</v>
      </c>
      <c r="C285" s="8"/>
      <c r="D285" s="8" t="s">
        <v>4</v>
      </c>
      <c r="E285" s="253" t="s">
        <v>29</v>
      </c>
      <c r="F285" s="96" t="s">
        <v>12</v>
      </c>
      <c r="G285" s="96" t="s">
        <v>57</v>
      </c>
      <c r="H285" s="96" t="s">
        <v>30</v>
      </c>
      <c r="I285" s="96" t="s">
        <v>31</v>
      </c>
      <c r="J285" s="252" t="s">
        <v>70</v>
      </c>
      <c r="K285" s="252" t="s">
        <v>71</v>
      </c>
      <c r="L285" s="252" t="s">
        <v>72</v>
      </c>
      <c r="M285" s="252" t="s">
        <v>73</v>
      </c>
      <c r="N285" s="250" t="s">
        <v>144</v>
      </c>
      <c r="O285" s="153"/>
    </row>
    <row r="286" spans="2:15" ht="15">
      <c r="B286" s="257"/>
      <c r="C286" s="71" t="s">
        <v>138</v>
      </c>
      <c r="D286" s="8" t="s">
        <v>32</v>
      </c>
      <c r="E286" s="255"/>
      <c r="F286" s="5" t="s">
        <v>32</v>
      </c>
      <c r="G286" s="5" t="s">
        <v>32</v>
      </c>
      <c r="H286" s="5" t="s">
        <v>33</v>
      </c>
      <c r="I286" s="5" t="s">
        <v>34</v>
      </c>
      <c r="J286" s="256"/>
      <c r="K286" s="256"/>
      <c r="L286" s="256"/>
      <c r="M286" s="256"/>
      <c r="N286" s="259"/>
      <c r="O286" s="153"/>
    </row>
    <row r="287" spans="2:15" ht="14.25">
      <c r="B287" s="5">
        <v>1</v>
      </c>
      <c r="C287" s="11" t="s">
        <v>84</v>
      </c>
      <c r="D287" s="12">
        <v>240</v>
      </c>
      <c r="E287" s="12" t="s">
        <v>76</v>
      </c>
      <c r="F287" s="19">
        <v>134</v>
      </c>
      <c r="G287" s="19">
        <v>120</v>
      </c>
      <c r="H287" s="5">
        <f>R7</f>
        <v>292</v>
      </c>
      <c r="I287" s="16">
        <f aca="true" t="shared" si="19" ref="I287:I300">H287*F287/1000</f>
        <v>39.13</v>
      </c>
      <c r="J287" s="106"/>
      <c r="K287" s="106"/>
      <c r="L287" s="106"/>
      <c r="M287" s="106"/>
      <c r="N287" s="157"/>
      <c r="O287" s="153"/>
    </row>
    <row r="288" spans="2:15" ht="14.25">
      <c r="B288" s="2"/>
      <c r="C288" s="11"/>
      <c r="D288" s="13"/>
      <c r="E288" s="12" t="s">
        <v>26</v>
      </c>
      <c r="F288" s="19">
        <v>10</v>
      </c>
      <c r="G288" s="19">
        <v>10</v>
      </c>
      <c r="H288" s="174">
        <f>R36</f>
        <v>145</v>
      </c>
      <c r="I288" s="16">
        <f>H288*F288/1000</f>
        <v>1.45</v>
      </c>
      <c r="J288" s="106"/>
      <c r="K288" s="106"/>
      <c r="L288" s="106"/>
      <c r="M288" s="106"/>
      <c r="N288" s="157"/>
      <c r="O288" s="153"/>
    </row>
    <row r="289" spans="2:15" ht="14.25">
      <c r="B289" s="2"/>
      <c r="C289" s="11"/>
      <c r="D289" s="13"/>
      <c r="E289" s="12" t="s">
        <v>24</v>
      </c>
      <c r="F289" s="19">
        <v>15</v>
      </c>
      <c r="G289" s="19">
        <v>13</v>
      </c>
      <c r="H289" s="174">
        <f>R23</f>
        <v>49</v>
      </c>
      <c r="I289" s="16">
        <f>H289*F289/1000</f>
        <v>0.74</v>
      </c>
      <c r="J289" s="16"/>
      <c r="K289" s="16"/>
      <c r="L289" s="16"/>
      <c r="M289" s="16"/>
      <c r="N289" s="44"/>
      <c r="O289" s="153"/>
    </row>
    <row r="290" spans="2:15" ht="14.25">
      <c r="B290" s="2"/>
      <c r="C290" s="11"/>
      <c r="D290" s="12"/>
      <c r="E290" s="12" t="s">
        <v>8</v>
      </c>
      <c r="F290" s="19">
        <v>16</v>
      </c>
      <c r="G290" s="19">
        <v>14</v>
      </c>
      <c r="H290" s="174">
        <f>R24</f>
        <v>60</v>
      </c>
      <c r="I290" s="16">
        <f>H290*F290/1000</f>
        <v>0.96</v>
      </c>
      <c r="J290" s="16"/>
      <c r="K290" s="16"/>
      <c r="L290" s="16"/>
      <c r="M290" s="16"/>
      <c r="N290" s="44"/>
      <c r="O290" s="153"/>
    </row>
    <row r="291" spans="2:15" ht="14.25">
      <c r="B291" s="2"/>
      <c r="C291" s="11"/>
      <c r="D291" s="12"/>
      <c r="E291" s="12" t="s">
        <v>18</v>
      </c>
      <c r="F291" s="19">
        <v>2</v>
      </c>
      <c r="G291" s="19">
        <v>2</v>
      </c>
      <c r="H291" s="5">
        <f>R29</f>
        <v>142</v>
      </c>
      <c r="I291" s="16">
        <f t="shared" si="19"/>
        <v>0.28</v>
      </c>
      <c r="J291" s="16"/>
      <c r="K291" s="16"/>
      <c r="L291" s="16"/>
      <c r="M291" s="16"/>
      <c r="N291" s="44"/>
      <c r="O291" s="153"/>
    </row>
    <row r="292" spans="2:15" ht="14.25">
      <c r="B292" s="2"/>
      <c r="C292" s="11"/>
      <c r="D292" s="12"/>
      <c r="E292" s="12" t="s">
        <v>1</v>
      </c>
      <c r="F292" s="19">
        <v>54</v>
      </c>
      <c r="G292" s="19">
        <v>54</v>
      </c>
      <c r="H292" s="5">
        <f>R43</f>
        <v>116</v>
      </c>
      <c r="I292" s="16">
        <f t="shared" si="19"/>
        <v>6.26</v>
      </c>
      <c r="J292" s="76">
        <v>26.9</v>
      </c>
      <c r="K292" s="76">
        <v>22.56</v>
      </c>
      <c r="L292" s="76">
        <v>47.35</v>
      </c>
      <c r="M292" s="76">
        <v>500.04</v>
      </c>
      <c r="N292" s="44">
        <v>705</v>
      </c>
      <c r="O292" s="153">
        <f>(J292+L292)*4+K292*9</f>
        <v>500.04</v>
      </c>
    </row>
    <row r="293" spans="2:15" ht="14.25">
      <c r="B293" s="15">
        <v>2</v>
      </c>
      <c r="C293" s="11" t="s">
        <v>157</v>
      </c>
      <c r="D293" s="12">
        <v>60</v>
      </c>
      <c r="E293" s="12" t="s">
        <v>15</v>
      </c>
      <c r="F293" s="19">
        <v>72</v>
      </c>
      <c r="G293" s="19">
        <v>56</v>
      </c>
      <c r="H293" s="5">
        <f>R25</f>
        <v>51</v>
      </c>
      <c r="I293" s="16">
        <f t="shared" si="19"/>
        <v>3.67</v>
      </c>
      <c r="J293" s="76"/>
      <c r="K293" s="76"/>
      <c r="L293" s="76"/>
      <c r="M293" s="76"/>
      <c r="N293" s="44"/>
      <c r="O293" s="153"/>
    </row>
    <row r="294" spans="2:15" ht="14.25">
      <c r="B294" s="151"/>
      <c r="C294" s="11"/>
      <c r="D294" s="12"/>
      <c r="E294" s="12" t="s">
        <v>26</v>
      </c>
      <c r="F294" s="19">
        <v>4</v>
      </c>
      <c r="G294" s="19">
        <v>4</v>
      </c>
      <c r="H294" s="5">
        <f>R36</f>
        <v>145</v>
      </c>
      <c r="I294" s="16">
        <f t="shared" si="19"/>
        <v>0.58</v>
      </c>
      <c r="J294" s="191">
        <v>0.99</v>
      </c>
      <c r="K294" s="191">
        <v>2.5</v>
      </c>
      <c r="L294" s="191">
        <v>4.91</v>
      </c>
      <c r="M294" s="189">
        <f>(J294+L294)*4+K294*9</f>
        <v>46.1</v>
      </c>
      <c r="N294" s="44">
        <v>31</v>
      </c>
      <c r="O294" s="153">
        <f>(J294+L294)*4+K294*9</f>
        <v>46.1</v>
      </c>
    </row>
    <row r="295" spans="2:15" ht="14.25">
      <c r="B295" s="15">
        <v>3</v>
      </c>
      <c r="C295" s="14" t="s">
        <v>137</v>
      </c>
      <c r="D295" s="5">
        <v>50</v>
      </c>
      <c r="E295" s="5" t="s">
        <v>19</v>
      </c>
      <c r="F295" s="5">
        <v>50</v>
      </c>
      <c r="G295" s="5">
        <v>50</v>
      </c>
      <c r="H295" s="5">
        <f>R60</f>
        <v>48</v>
      </c>
      <c r="I295" s="29">
        <f t="shared" si="19"/>
        <v>2.4</v>
      </c>
      <c r="J295" s="189">
        <v>3.06</v>
      </c>
      <c r="K295" s="189">
        <v>9.54</v>
      </c>
      <c r="L295" s="189">
        <v>18.28</v>
      </c>
      <c r="M295" s="189">
        <f>(J295+L295)*4+K295*9</f>
        <v>171.22</v>
      </c>
      <c r="N295" s="190"/>
      <c r="O295" s="153">
        <f>(J295+L295)*4+K295*9</f>
        <v>171.22</v>
      </c>
    </row>
    <row r="296" spans="2:15" ht="14.25">
      <c r="B296" s="5">
        <v>4</v>
      </c>
      <c r="C296" s="3" t="s">
        <v>129</v>
      </c>
      <c r="D296" s="15">
        <v>200</v>
      </c>
      <c r="E296" s="5" t="s">
        <v>130</v>
      </c>
      <c r="F296" s="5">
        <v>3</v>
      </c>
      <c r="G296" s="5">
        <v>3</v>
      </c>
      <c r="H296" s="5">
        <f>R57</f>
        <v>403</v>
      </c>
      <c r="I296" s="29">
        <f t="shared" si="19"/>
        <v>1.21</v>
      </c>
      <c r="J296" s="143"/>
      <c r="K296" s="143"/>
      <c r="L296" s="143"/>
      <c r="M296" s="143"/>
      <c r="N296" s="44"/>
      <c r="O296" s="153"/>
    </row>
    <row r="297" spans="2:15" ht="14.25">
      <c r="B297" s="5"/>
      <c r="C297" s="3"/>
      <c r="D297" s="15"/>
      <c r="E297" s="5" t="s">
        <v>10</v>
      </c>
      <c r="F297" s="5">
        <v>90</v>
      </c>
      <c r="G297" s="5">
        <v>90</v>
      </c>
      <c r="H297" s="5">
        <f>R12</f>
        <v>72</v>
      </c>
      <c r="I297" s="29">
        <f t="shared" si="19"/>
        <v>6.48</v>
      </c>
      <c r="J297" s="143"/>
      <c r="K297" s="143"/>
      <c r="L297" s="143"/>
      <c r="M297" s="143"/>
      <c r="N297" s="44"/>
      <c r="O297" s="153"/>
    </row>
    <row r="298" spans="2:15" ht="14.25">
      <c r="B298" s="5"/>
      <c r="C298" s="31"/>
      <c r="D298" s="9"/>
      <c r="E298" s="8" t="s">
        <v>2</v>
      </c>
      <c r="F298" s="5">
        <v>13</v>
      </c>
      <c r="G298" s="5">
        <v>13</v>
      </c>
      <c r="H298" s="5">
        <f>R50</f>
        <v>85</v>
      </c>
      <c r="I298" s="29">
        <f t="shared" si="19"/>
        <v>1.11</v>
      </c>
      <c r="J298" s="189">
        <v>3.52</v>
      </c>
      <c r="K298" s="189">
        <v>3.72</v>
      </c>
      <c r="L298" s="189">
        <v>25.49</v>
      </c>
      <c r="M298" s="189">
        <f>(J298+L298)*4+K298*9</f>
        <v>149.52</v>
      </c>
      <c r="N298" s="190">
        <v>382</v>
      </c>
      <c r="O298" s="153">
        <f>(J298+L298)*4+K298*9</f>
        <v>149.52</v>
      </c>
    </row>
    <row r="299" spans="2:15" ht="14.25">
      <c r="B299" s="5">
        <v>5</v>
      </c>
      <c r="C299" s="185" t="s">
        <v>198</v>
      </c>
      <c r="D299" s="5">
        <v>90</v>
      </c>
      <c r="E299" s="5" t="s">
        <v>199</v>
      </c>
      <c r="F299" s="34">
        <v>90</v>
      </c>
      <c r="G299" s="5"/>
      <c r="H299" s="5">
        <f>R31</f>
        <v>172</v>
      </c>
      <c r="I299" s="29">
        <f t="shared" si="19"/>
        <v>15.48</v>
      </c>
      <c r="J299" s="16">
        <v>1.35</v>
      </c>
      <c r="K299" s="16">
        <v>0.45</v>
      </c>
      <c r="L299" s="16">
        <v>7.2</v>
      </c>
      <c r="M299" s="16">
        <v>38.25</v>
      </c>
      <c r="N299" s="44">
        <v>368</v>
      </c>
      <c r="O299" s="153">
        <f>(J299+L299)*4+K299*9</f>
        <v>38.25</v>
      </c>
    </row>
    <row r="300" spans="2:15" ht="14.25">
      <c r="B300" s="5"/>
      <c r="C300" s="14"/>
      <c r="D300" s="15"/>
      <c r="E300" s="5" t="s">
        <v>159</v>
      </c>
      <c r="F300" s="5">
        <v>2</v>
      </c>
      <c r="G300" s="5">
        <v>2</v>
      </c>
      <c r="H300" s="5">
        <f>R54</f>
        <v>27</v>
      </c>
      <c r="I300" s="29">
        <f t="shared" si="19"/>
        <v>0.05</v>
      </c>
      <c r="J300" s="16"/>
      <c r="K300" s="16"/>
      <c r="L300" s="16"/>
      <c r="M300" s="16"/>
      <c r="N300" s="44"/>
      <c r="O300" s="153"/>
    </row>
    <row r="301" spans="2:15" ht="15">
      <c r="B301" s="5"/>
      <c r="C301" s="5"/>
      <c r="D301" s="195">
        <f>SUM(D287:D300)</f>
        <v>640</v>
      </c>
      <c r="E301" s="5"/>
      <c r="F301" s="5"/>
      <c r="G301" s="5"/>
      <c r="H301" s="34"/>
      <c r="I301" s="68">
        <f>SUM(I287:I300)</f>
        <v>79.8</v>
      </c>
      <c r="J301" s="68">
        <f>SUM(J287:J300)</f>
        <v>35.82</v>
      </c>
      <c r="K301" s="68">
        <f>SUM(K287:K300)</f>
        <v>38.77</v>
      </c>
      <c r="L301" s="68">
        <f>SUM(L287:L300)</f>
        <v>103.23</v>
      </c>
      <c r="M301" s="68">
        <f>SUM(M287:M300)</f>
        <v>905.13</v>
      </c>
      <c r="N301" s="148"/>
      <c r="O301" s="153">
        <f>(J301+L301)*4+K301*9</f>
        <v>905.13</v>
      </c>
    </row>
    <row r="302" spans="2:15" ht="15">
      <c r="B302" s="5"/>
      <c r="C302" s="72" t="s">
        <v>139</v>
      </c>
      <c r="D302" s="8"/>
      <c r="E302" s="8"/>
      <c r="F302" s="5"/>
      <c r="G302" s="5"/>
      <c r="H302" s="5"/>
      <c r="I302" s="16"/>
      <c r="J302" s="16"/>
      <c r="K302" s="16"/>
      <c r="L302" s="16"/>
      <c r="M302" s="16"/>
      <c r="N302" s="44"/>
      <c r="O302" s="153"/>
    </row>
    <row r="303" spans="2:15" ht="14.25">
      <c r="B303" s="5">
        <v>1</v>
      </c>
      <c r="C303" s="3" t="s">
        <v>75</v>
      </c>
      <c r="D303" s="34">
        <v>200</v>
      </c>
      <c r="E303" s="177" t="s">
        <v>7</v>
      </c>
      <c r="F303" s="5">
        <v>60</v>
      </c>
      <c r="G303" s="5">
        <v>53</v>
      </c>
      <c r="H303" s="5">
        <f>R21</f>
        <v>54</v>
      </c>
      <c r="I303" s="16">
        <f>H303*F303/1000</f>
        <v>3.24</v>
      </c>
      <c r="J303" s="16"/>
      <c r="K303" s="16"/>
      <c r="L303" s="16"/>
      <c r="M303" s="16"/>
      <c r="N303" s="44"/>
      <c r="O303" s="153"/>
    </row>
    <row r="304" spans="2:15" ht="14.25">
      <c r="B304" s="2"/>
      <c r="C304" s="3" t="s">
        <v>170</v>
      </c>
      <c r="D304" s="5"/>
      <c r="E304" s="163" t="s">
        <v>171</v>
      </c>
      <c r="F304" s="5">
        <v>8</v>
      </c>
      <c r="G304" s="5">
        <v>8</v>
      </c>
      <c r="H304" s="5">
        <f>R40</f>
        <v>85</v>
      </c>
      <c r="I304" s="16">
        <f>H304*F304/1000</f>
        <v>0.68</v>
      </c>
      <c r="J304" s="16"/>
      <c r="K304" s="16"/>
      <c r="L304" s="16"/>
      <c r="M304" s="16"/>
      <c r="N304" s="44"/>
      <c r="O304" s="153"/>
    </row>
    <row r="305" spans="2:15" ht="14.25">
      <c r="B305" s="2"/>
      <c r="C305" s="3"/>
      <c r="D305" s="5"/>
      <c r="E305" s="163" t="s">
        <v>8</v>
      </c>
      <c r="F305" s="5">
        <v>10</v>
      </c>
      <c r="G305" s="5">
        <v>8</v>
      </c>
      <c r="H305" s="5">
        <f>R24</f>
        <v>60</v>
      </c>
      <c r="I305" s="16">
        <f>H305*F305/1000</f>
        <v>0.6</v>
      </c>
      <c r="J305" s="16"/>
      <c r="K305" s="16"/>
      <c r="L305" s="16"/>
      <c r="M305" s="16"/>
      <c r="N305" s="44"/>
      <c r="O305" s="153"/>
    </row>
    <row r="306" spans="2:15" ht="14.25">
      <c r="B306" s="2"/>
      <c r="C306" s="3"/>
      <c r="D306" s="5"/>
      <c r="E306" s="163" t="s">
        <v>6</v>
      </c>
      <c r="F306" s="5">
        <v>10</v>
      </c>
      <c r="G306" s="5">
        <v>8</v>
      </c>
      <c r="H306" s="5">
        <f>R23</f>
        <v>49</v>
      </c>
      <c r="I306" s="16">
        <f>H306*F306/1000</f>
        <v>0.49</v>
      </c>
      <c r="J306" s="16"/>
      <c r="K306" s="16"/>
      <c r="L306" s="16"/>
      <c r="M306" s="16"/>
      <c r="N306" s="44"/>
      <c r="O306" s="153"/>
    </row>
    <row r="307" spans="2:15" ht="14.25">
      <c r="B307" s="2"/>
      <c r="C307" s="3"/>
      <c r="D307" s="5"/>
      <c r="E307" s="163" t="s">
        <v>26</v>
      </c>
      <c r="F307" s="5">
        <v>4</v>
      </c>
      <c r="G307" s="5">
        <v>4</v>
      </c>
      <c r="H307" s="5">
        <f>R36</f>
        <v>145</v>
      </c>
      <c r="I307" s="16">
        <f>H307*F307/1000</f>
        <v>0.58</v>
      </c>
      <c r="J307" s="16">
        <v>2.47</v>
      </c>
      <c r="K307" s="16">
        <v>4.41</v>
      </c>
      <c r="L307" s="16">
        <v>16.44</v>
      </c>
      <c r="M307" s="16">
        <v>115.33</v>
      </c>
      <c r="N307" s="174">
        <v>219</v>
      </c>
      <c r="O307" s="153">
        <f>(J307+L307)*4+K307*9</f>
        <v>115.33</v>
      </c>
    </row>
    <row r="308" spans="2:15" ht="14.25">
      <c r="B308" s="5">
        <v>2</v>
      </c>
      <c r="C308" s="11" t="s">
        <v>84</v>
      </c>
      <c r="D308" s="12">
        <v>240</v>
      </c>
      <c r="E308" s="12" t="s">
        <v>76</v>
      </c>
      <c r="F308" s="19">
        <v>132</v>
      </c>
      <c r="G308" s="19">
        <v>120</v>
      </c>
      <c r="H308" s="141">
        <f>R7</f>
        <v>292</v>
      </c>
      <c r="I308" s="16">
        <f aca="true" t="shared" si="20" ref="I308:I315">H308*F308/1000</f>
        <v>38.54</v>
      </c>
      <c r="J308" s="16"/>
      <c r="K308" s="16"/>
      <c r="L308" s="16"/>
      <c r="M308" s="16"/>
      <c r="N308" s="44"/>
      <c r="O308" s="153"/>
    </row>
    <row r="309" spans="2:15" ht="14.25">
      <c r="B309" s="5"/>
      <c r="C309" s="11"/>
      <c r="D309" s="13"/>
      <c r="E309" s="12" t="s">
        <v>26</v>
      </c>
      <c r="F309" s="19">
        <v>10</v>
      </c>
      <c r="G309" s="19">
        <v>10</v>
      </c>
      <c r="H309" s="141">
        <f>R36</f>
        <v>145</v>
      </c>
      <c r="I309" s="16">
        <f t="shared" si="20"/>
        <v>1.45</v>
      </c>
      <c r="J309" s="16"/>
      <c r="K309" s="16"/>
      <c r="L309" s="16"/>
      <c r="M309" s="16"/>
      <c r="N309" s="44"/>
      <c r="O309" s="153"/>
    </row>
    <row r="310" spans="2:15" ht="14.25">
      <c r="B310" s="5"/>
      <c r="C310" s="11"/>
      <c r="D310" s="13"/>
      <c r="E310" s="12" t="s">
        <v>24</v>
      </c>
      <c r="F310" s="19">
        <v>15</v>
      </c>
      <c r="G310" s="19">
        <v>13</v>
      </c>
      <c r="H310" s="141">
        <f>R23</f>
        <v>49</v>
      </c>
      <c r="I310" s="16">
        <f t="shared" si="20"/>
        <v>0.74</v>
      </c>
      <c r="J310" s="16"/>
      <c r="K310" s="16"/>
      <c r="L310" s="16"/>
      <c r="M310" s="16"/>
      <c r="N310" s="44"/>
      <c r="O310" s="153"/>
    </row>
    <row r="311" spans="2:15" ht="14.25">
      <c r="B311" s="5"/>
      <c r="C311" s="11"/>
      <c r="D311" s="12"/>
      <c r="E311" s="12" t="s">
        <v>8</v>
      </c>
      <c r="F311" s="19">
        <v>15</v>
      </c>
      <c r="G311" s="19">
        <v>12</v>
      </c>
      <c r="H311" s="174">
        <f>R24</f>
        <v>60</v>
      </c>
      <c r="I311" s="16">
        <f>H311*F311/1000</f>
        <v>0.9</v>
      </c>
      <c r="J311" s="16"/>
      <c r="K311" s="16"/>
      <c r="L311" s="16"/>
      <c r="M311" s="16"/>
      <c r="N311" s="44"/>
      <c r="O311" s="153"/>
    </row>
    <row r="312" spans="2:15" ht="14.25">
      <c r="B312" s="5"/>
      <c r="C312" s="11"/>
      <c r="D312" s="12"/>
      <c r="E312" s="12" t="s">
        <v>18</v>
      </c>
      <c r="F312" s="19">
        <v>2</v>
      </c>
      <c r="G312" s="19">
        <v>2</v>
      </c>
      <c r="H312" s="141">
        <f>R29</f>
        <v>142</v>
      </c>
      <c r="I312" s="16">
        <f t="shared" si="20"/>
        <v>0.28</v>
      </c>
      <c r="J312" s="16"/>
      <c r="K312" s="16"/>
      <c r="L312" s="16"/>
      <c r="M312" s="16"/>
      <c r="N312" s="44"/>
      <c r="O312" s="153"/>
    </row>
    <row r="313" spans="2:15" ht="14.25">
      <c r="B313" s="5"/>
      <c r="C313" s="11"/>
      <c r="D313" s="12"/>
      <c r="E313" s="12" t="s">
        <v>1</v>
      </c>
      <c r="F313" s="19">
        <v>54</v>
      </c>
      <c r="G313" s="19">
        <v>54</v>
      </c>
      <c r="H313" s="141">
        <f>R43</f>
        <v>116</v>
      </c>
      <c r="I313" s="16">
        <f t="shared" si="20"/>
        <v>6.26</v>
      </c>
      <c r="J313" s="76">
        <v>26.9</v>
      </c>
      <c r="K313" s="76">
        <v>22.56</v>
      </c>
      <c r="L313" s="76">
        <v>47.35</v>
      </c>
      <c r="M313" s="76">
        <v>500.04</v>
      </c>
      <c r="N313" s="44">
        <v>705</v>
      </c>
      <c r="O313" s="153">
        <f>(J313+L313)*4+K313*9</f>
        <v>500.04</v>
      </c>
    </row>
    <row r="314" spans="2:15" ht="14.25">
      <c r="B314" s="5">
        <v>3</v>
      </c>
      <c r="C314" s="11" t="s">
        <v>157</v>
      </c>
      <c r="D314" s="12">
        <v>60</v>
      </c>
      <c r="E314" s="12" t="s">
        <v>15</v>
      </c>
      <c r="F314" s="19">
        <v>71</v>
      </c>
      <c r="G314" s="19">
        <v>56</v>
      </c>
      <c r="H314" s="141">
        <f>R25</f>
        <v>51</v>
      </c>
      <c r="I314" s="16">
        <f t="shared" si="20"/>
        <v>3.62</v>
      </c>
      <c r="J314" s="76"/>
      <c r="K314" s="76"/>
      <c r="L314" s="76"/>
      <c r="M314" s="76"/>
      <c r="N314" s="44"/>
      <c r="O314" s="153"/>
    </row>
    <row r="315" spans="2:15" ht="14.25">
      <c r="B315" s="5"/>
      <c r="C315" s="11"/>
      <c r="D315" s="12"/>
      <c r="E315" s="12" t="s">
        <v>26</v>
      </c>
      <c r="F315" s="19">
        <v>4</v>
      </c>
      <c r="G315" s="19">
        <v>4</v>
      </c>
      <c r="H315" s="141">
        <f>R36</f>
        <v>145</v>
      </c>
      <c r="I315" s="16">
        <f t="shared" si="20"/>
        <v>0.58</v>
      </c>
      <c r="J315" s="191">
        <v>0.99</v>
      </c>
      <c r="K315" s="191">
        <v>2.5</v>
      </c>
      <c r="L315" s="191">
        <v>4.91</v>
      </c>
      <c r="M315" s="189">
        <f>(J315+L315)*4+K315*9</f>
        <v>46.1</v>
      </c>
      <c r="N315" s="44">
        <v>31</v>
      </c>
      <c r="O315" s="153">
        <f>(J315+L315)*4+K315*9</f>
        <v>46.1</v>
      </c>
    </row>
    <row r="316" spans="2:22" ht="14.25">
      <c r="B316" s="8">
        <v>4</v>
      </c>
      <c r="C316" s="14" t="s">
        <v>35</v>
      </c>
      <c r="D316" s="5">
        <v>50</v>
      </c>
      <c r="E316" s="5" t="s">
        <v>19</v>
      </c>
      <c r="F316" s="34">
        <v>50</v>
      </c>
      <c r="G316" s="34">
        <v>50</v>
      </c>
      <c r="H316" s="34">
        <f>R60</f>
        <v>48</v>
      </c>
      <c r="I316" s="16">
        <f aca="true" t="shared" si="21" ref="I316:I321">H316*F316/1000</f>
        <v>2.4</v>
      </c>
      <c r="J316" s="189">
        <v>3.06</v>
      </c>
      <c r="K316" s="189">
        <v>9.54</v>
      </c>
      <c r="L316" s="189">
        <v>18.28</v>
      </c>
      <c r="M316" s="189">
        <f>(J316+L316)*4+K316*9</f>
        <v>171.22</v>
      </c>
      <c r="N316" s="190">
        <v>1</v>
      </c>
      <c r="O316" s="153">
        <f>(J316+L316)*4+K316*9</f>
        <v>171.22</v>
      </c>
      <c r="S316" s="21"/>
      <c r="T316" s="21"/>
      <c r="U316" s="21"/>
      <c r="V316" s="22"/>
    </row>
    <row r="317" spans="2:15" ht="14.25">
      <c r="B317" s="5">
        <v>5</v>
      </c>
      <c r="C317" s="31" t="s">
        <v>25</v>
      </c>
      <c r="D317" s="5">
        <v>200</v>
      </c>
      <c r="E317" s="5" t="s">
        <v>20</v>
      </c>
      <c r="F317" s="5">
        <v>14</v>
      </c>
      <c r="G317" s="5">
        <v>14</v>
      </c>
      <c r="H317" s="5">
        <f>R32</f>
        <v>140</v>
      </c>
      <c r="I317" s="16">
        <f t="shared" si="21"/>
        <v>1.96</v>
      </c>
      <c r="J317" s="189"/>
      <c r="K317" s="189"/>
      <c r="L317" s="189"/>
      <c r="M317" s="189"/>
      <c r="N317" s="190"/>
      <c r="O317" s="153"/>
    </row>
    <row r="318" spans="2:15" ht="14.25">
      <c r="B318" s="5"/>
      <c r="C318" s="5"/>
      <c r="D318" s="5"/>
      <c r="E318" s="5" t="s">
        <v>2</v>
      </c>
      <c r="F318" s="5">
        <v>12</v>
      </c>
      <c r="G318" s="5">
        <v>12</v>
      </c>
      <c r="H318" s="5">
        <f>R50</f>
        <v>85</v>
      </c>
      <c r="I318" s="16">
        <f t="shared" si="21"/>
        <v>1.02</v>
      </c>
      <c r="J318" s="192">
        <v>0.04</v>
      </c>
      <c r="K318" s="192">
        <v>0</v>
      </c>
      <c r="L318" s="192">
        <v>24.76</v>
      </c>
      <c r="M318" s="189">
        <f>(J318+L318)*4+K318*9</f>
        <v>99.2</v>
      </c>
      <c r="N318" s="190">
        <v>349</v>
      </c>
      <c r="O318" s="153">
        <f>(J318+L318)*4+K318*9</f>
        <v>99.2</v>
      </c>
    </row>
    <row r="319" spans="2:18" ht="15">
      <c r="B319" s="5">
        <v>6</v>
      </c>
      <c r="C319" s="185" t="s">
        <v>198</v>
      </c>
      <c r="D319" s="5">
        <v>70</v>
      </c>
      <c r="E319" s="5" t="s">
        <v>199</v>
      </c>
      <c r="F319" s="34">
        <v>95</v>
      </c>
      <c r="G319" s="5"/>
      <c r="H319" s="5">
        <f>R31</f>
        <v>172</v>
      </c>
      <c r="I319" s="16">
        <f t="shared" si="21"/>
        <v>16.34</v>
      </c>
      <c r="J319" s="16">
        <v>1.05</v>
      </c>
      <c r="K319" s="16">
        <v>0.35</v>
      </c>
      <c r="L319" s="16">
        <v>5.6</v>
      </c>
      <c r="M319" s="16">
        <v>29.75</v>
      </c>
      <c r="N319" s="44">
        <v>368</v>
      </c>
      <c r="O319" s="153">
        <f>(J319+L319)*4+K319*9</f>
        <v>29.75</v>
      </c>
      <c r="P319" s="26"/>
      <c r="Q319" s="26"/>
      <c r="R319" s="41"/>
    </row>
    <row r="320" spans="2:18" ht="15">
      <c r="B320" s="8"/>
      <c r="C320" s="14"/>
      <c r="D320" s="5"/>
      <c r="E320" s="5" t="s">
        <v>159</v>
      </c>
      <c r="F320" s="5">
        <v>4</v>
      </c>
      <c r="G320" s="5">
        <v>4</v>
      </c>
      <c r="H320" s="5">
        <f>R54</f>
        <v>27</v>
      </c>
      <c r="I320" s="16">
        <f t="shared" si="21"/>
        <v>0.11</v>
      </c>
      <c r="J320" s="16"/>
      <c r="K320" s="16"/>
      <c r="L320" s="16"/>
      <c r="M320" s="16"/>
      <c r="N320" s="44"/>
      <c r="O320" s="153"/>
      <c r="P320" s="26"/>
      <c r="Q320" s="26"/>
      <c r="R320" s="41"/>
    </row>
    <row r="321" spans="2:18" ht="15">
      <c r="B321" s="8"/>
      <c r="C321" s="14"/>
      <c r="D321" s="5"/>
      <c r="E321" s="5" t="s">
        <v>93</v>
      </c>
      <c r="F321" s="5">
        <v>0.02</v>
      </c>
      <c r="G321" s="5">
        <v>0.02</v>
      </c>
      <c r="H321" s="5">
        <f>R59</f>
        <v>617</v>
      </c>
      <c r="I321" s="16">
        <f t="shared" si="21"/>
        <v>0.01</v>
      </c>
      <c r="J321" s="16"/>
      <c r="K321" s="16"/>
      <c r="L321" s="16"/>
      <c r="M321" s="16"/>
      <c r="N321" s="44"/>
      <c r="O321" s="153"/>
      <c r="P321" s="26"/>
      <c r="Q321" s="26"/>
      <c r="R321" s="41"/>
    </row>
    <row r="322" spans="2:18" ht="15">
      <c r="B322" s="8"/>
      <c r="C322" s="14"/>
      <c r="D322" s="195">
        <f>SUM(D303:D321)</f>
        <v>820</v>
      </c>
      <c r="E322" s="5"/>
      <c r="F322" s="34"/>
      <c r="G322" s="34"/>
      <c r="H322" s="34"/>
      <c r="I322" s="68">
        <f>SUM(I303:I321)</f>
        <v>79.8</v>
      </c>
      <c r="J322" s="68">
        <f>SUM(J303:J321)</f>
        <v>34.51</v>
      </c>
      <c r="K322" s="68">
        <f>SUM(K303:K321)</f>
        <v>39.36</v>
      </c>
      <c r="L322" s="68">
        <f>SUM(L303:L321)</f>
        <v>117.34</v>
      </c>
      <c r="M322" s="68">
        <f>SUM(M303:M321)</f>
        <v>961.64</v>
      </c>
      <c r="N322" s="148"/>
      <c r="O322" s="153">
        <f>(J322+L322)*4+K322*9</f>
        <v>961.64</v>
      </c>
      <c r="P322" s="26"/>
      <c r="Q322" s="26"/>
      <c r="R322" s="41"/>
    </row>
    <row r="323" spans="2:18" ht="15">
      <c r="B323" s="23"/>
      <c r="C323" s="20"/>
      <c r="D323" s="21"/>
      <c r="E323" s="21"/>
      <c r="F323" s="36"/>
      <c r="G323" s="36"/>
      <c r="H323" s="36"/>
      <c r="I323" s="91"/>
      <c r="J323" s="91"/>
      <c r="K323" s="91"/>
      <c r="L323" s="91"/>
      <c r="M323" s="91"/>
      <c r="N323" s="145"/>
      <c r="O323" s="153"/>
      <c r="P323" s="26"/>
      <c r="Q323" s="26"/>
      <c r="R323" s="41"/>
    </row>
    <row r="324" spans="3:18" s="70" customFormat="1" ht="15">
      <c r="C324" s="73" t="s">
        <v>40</v>
      </c>
      <c r="N324" s="154"/>
      <c r="O324" s="184"/>
      <c r="P324" s="214"/>
      <c r="Q324" s="214"/>
      <c r="R324" s="214"/>
    </row>
    <row r="325" spans="2:18" ht="28.5">
      <c r="B325" s="253" t="s">
        <v>3</v>
      </c>
      <c r="C325" s="8"/>
      <c r="D325" s="8" t="s">
        <v>4</v>
      </c>
      <c r="E325" s="253" t="s">
        <v>29</v>
      </c>
      <c r="F325" s="96" t="s">
        <v>12</v>
      </c>
      <c r="G325" s="96" t="s">
        <v>57</v>
      </c>
      <c r="H325" s="96" t="s">
        <v>30</v>
      </c>
      <c r="I325" s="96" t="s">
        <v>31</v>
      </c>
      <c r="J325" s="252" t="s">
        <v>70</v>
      </c>
      <c r="K325" s="252" t="s">
        <v>71</v>
      </c>
      <c r="L325" s="252" t="s">
        <v>72</v>
      </c>
      <c r="M325" s="252" t="s">
        <v>73</v>
      </c>
      <c r="N325" s="250" t="s">
        <v>144</v>
      </c>
      <c r="O325" s="153"/>
      <c r="P325" s="7"/>
      <c r="Q325" s="7"/>
      <c r="R325" s="7"/>
    </row>
    <row r="326" spans="2:18" ht="15">
      <c r="B326" s="257"/>
      <c r="C326" s="71" t="s">
        <v>138</v>
      </c>
      <c r="D326" s="8" t="s">
        <v>32</v>
      </c>
      <c r="E326" s="255"/>
      <c r="F326" s="5" t="s">
        <v>32</v>
      </c>
      <c r="G326" s="5" t="s">
        <v>32</v>
      </c>
      <c r="H326" s="5" t="s">
        <v>33</v>
      </c>
      <c r="I326" s="5" t="s">
        <v>34</v>
      </c>
      <c r="J326" s="254"/>
      <c r="K326" s="254"/>
      <c r="L326" s="254"/>
      <c r="M326" s="254"/>
      <c r="N326" s="256"/>
      <c r="O326" s="153"/>
      <c r="P326" s="7"/>
      <c r="Q326" s="7"/>
      <c r="R326" s="7"/>
    </row>
    <row r="327" spans="2:18" ht="14.25">
      <c r="B327" s="5">
        <v>1</v>
      </c>
      <c r="C327" s="224" t="s">
        <v>210</v>
      </c>
      <c r="D327" s="12">
        <v>100</v>
      </c>
      <c r="E327" s="12" t="s">
        <v>78</v>
      </c>
      <c r="F327" s="34">
        <v>155</v>
      </c>
      <c r="G327" s="34">
        <v>136</v>
      </c>
      <c r="H327" s="174">
        <f>R37</f>
        <v>210</v>
      </c>
      <c r="I327" s="16">
        <f>F327*H327/1000</f>
        <v>32.55</v>
      </c>
      <c r="J327" s="16"/>
      <c r="K327" s="16"/>
      <c r="L327" s="16"/>
      <c r="M327" s="16"/>
      <c r="N327" s="44"/>
      <c r="O327" s="153"/>
      <c r="P327" s="7"/>
      <c r="Q327" s="7"/>
      <c r="R327" s="7"/>
    </row>
    <row r="328" spans="2:18" ht="14.25">
      <c r="B328" s="5"/>
      <c r="C328" s="11"/>
      <c r="D328" s="12"/>
      <c r="E328" s="12" t="s">
        <v>74</v>
      </c>
      <c r="F328" s="174">
        <v>11</v>
      </c>
      <c r="G328" s="5">
        <v>11</v>
      </c>
      <c r="H328" s="5">
        <f>R39</f>
        <v>40</v>
      </c>
      <c r="I328" s="16">
        <f>F328*H328/1000</f>
        <v>0.44</v>
      </c>
      <c r="J328" s="16"/>
      <c r="K328" s="16"/>
      <c r="L328" s="16"/>
      <c r="M328" s="16"/>
      <c r="N328" s="44"/>
      <c r="O328" s="153"/>
      <c r="P328" s="7"/>
      <c r="Q328" s="7"/>
      <c r="R328" s="7"/>
    </row>
    <row r="329" spans="2:18" ht="14.25">
      <c r="B329" s="5"/>
      <c r="C329" s="11"/>
      <c r="D329" s="12"/>
      <c r="E329" s="12" t="s">
        <v>26</v>
      </c>
      <c r="F329" s="174">
        <v>12</v>
      </c>
      <c r="G329" s="5">
        <v>12</v>
      </c>
      <c r="H329" s="5">
        <f>R36</f>
        <v>145</v>
      </c>
      <c r="I329" s="16">
        <f>F329*H329/1000</f>
        <v>1.74</v>
      </c>
      <c r="J329" s="16">
        <v>13.62</v>
      </c>
      <c r="K329" s="16">
        <v>7.46</v>
      </c>
      <c r="L329" s="16">
        <v>9.72</v>
      </c>
      <c r="M329" s="16">
        <v>160.5</v>
      </c>
      <c r="N329" s="44">
        <v>519</v>
      </c>
      <c r="O329" s="153">
        <f>(J329+L329)*4+K329*9</f>
        <v>160.5</v>
      </c>
      <c r="P329" s="7"/>
      <c r="Q329" s="7"/>
      <c r="R329" s="7"/>
    </row>
    <row r="330" spans="2:18" ht="14.25">
      <c r="B330" s="5">
        <v>2</v>
      </c>
      <c r="C330" s="14" t="s">
        <v>90</v>
      </c>
      <c r="D330" s="5">
        <v>150</v>
      </c>
      <c r="E330" s="5" t="s">
        <v>7</v>
      </c>
      <c r="F330" s="5">
        <v>214</v>
      </c>
      <c r="G330" s="5">
        <v>128</v>
      </c>
      <c r="H330" s="5">
        <f>R21</f>
        <v>54</v>
      </c>
      <c r="I330" s="16">
        <f aca="true" t="shared" si="22" ref="I330:I340">F330*H330/1000</f>
        <v>11.56</v>
      </c>
      <c r="J330" s="16"/>
      <c r="K330" s="16"/>
      <c r="L330" s="16"/>
      <c r="M330" s="16"/>
      <c r="N330" s="44"/>
      <c r="O330" s="153"/>
      <c r="P330" s="7"/>
      <c r="Q330" s="7"/>
      <c r="R330" s="7"/>
    </row>
    <row r="331" spans="2:15" ht="14.25">
      <c r="B331" s="5"/>
      <c r="C331" s="31"/>
      <c r="D331" s="5"/>
      <c r="E331" s="5" t="s">
        <v>10</v>
      </c>
      <c r="F331" s="5">
        <v>30</v>
      </c>
      <c r="G331" s="5">
        <v>30</v>
      </c>
      <c r="H331" s="5">
        <f>R12</f>
        <v>72</v>
      </c>
      <c r="I331" s="16">
        <f t="shared" si="22"/>
        <v>2.16</v>
      </c>
      <c r="J331" s="16"/>
      <c r="K331" s="16"/>
      <c r="L331" s="16"/>
      <c r="M331" s="16"/>
      <c r="N331" s="44"/>
      <c r="O331" s="153"/>
    </row>
    <row r="332" spans="2:15" ht="14.25">
      <c r="B332" s="5"/>
      <c r="C332" s="32"/>
      <c r="D332" s="28"/>
      <c r="E332" s="28" t="s">
        <v>28</v>
      </c>
      <c r="F332" s="5">
        <v>5</v>
      </c>
      <c r="G332" s="5">
        <v>5</v>
      </c>
      <c r="H332" s="5">
        <f>R13</f>
        <v>467</v>
      </c>
      <c r="I332" s="16">
        <f t="shared" si="22"/>
        <v>2.34</v>
      </c>
      <c r="J332" s="16">
        <v>3.4</v>
      </c>
      <c r="K332" s="16">
        <v>6.06</v>
      </c>
      <c r="L332" s="16">
        <v>20.52</v>
      </c>
      <c r="M332" s="189">
        <f>(J332+L332)*4+K332*9</f>
        <v>150.22</v>
      </c>
      <c r="N332" s="190">
        <v>321</v>
      </c>
      <c r="O332" s="153">
        <f>(J332+L332)*4+K332*9</f>
        <v>150.22</v>
      </c>
    </row>
    <row r="333" spans="2:15" ht="14.25">
      <c r="B333" s="5">
        <v>3</v>
      </c>
      <c r="C333" s="31" t="s">
        <v>134</v>
      </c>
      <c r="D333" s="5">
        <v>40</v>
      </c>
      <c r="E333" s="5" t="s">
        <v>19</v>
      </c>
      <c r="F333" s="5">
        <v>40</v>
      </c>
      <c r="G333" s="5">
        <v>40</v>
      </c>
      <c r="H333" s="5">
        <f>R60</f>
        <v>48</v>
      </c>
      <c r="I333" s="16">
        <f t="shared" si="22"/>
        <v>1.92</v>
      </c>
      <c r="J333" s="16">
        <v>2.68</v>
      </c>
      <c r="K333" s="16">
        <v>0.28</v>
      </c>
      <c r="L333" s="16">
        <v>20.12</v>
      </c>
      <c r="M333" s="16">
        <v>93.72</v>
      </c>
      <c r="N333" s="190"/>
      <c r="O333" s="153">
        <f>(J333+L333)*4+K333*9</f>
        <v>93.72</v>
      </c>
    </row>
    <row r="334" spans="2:15" ht="14.25">
      <c r="B334" s="5">
        <v>4</v>
      </c>
      <c r="C334" s="31" t="s">
        <v>81</v>
      </c>
      <c r="D334" s="15">
        <v>40</v>
      </c>
      <c r="E334" s="5" t="s">
        <v>19</v>
      </c>
      <c r="F334" s="5">
        <v>40</v>
      </c>
      <c r="G334" s="5">
        <v>40</v>
      </c>
      <c r="H334" s="5">
        <f>R61</f>
        <v>52</v>
      </c>
      <c r="I334" s="16">
        <f t="shared" si="22"/>
        <v>2.08</v>
      </c>
      <c r="J334" s="76">
        <v>2.8</v>
      </c>
      <c r="K334" s="76">
        <v>0.72</v>
      </c>
      <c r="L334" s="76">
        <v>21</v>
      </c>
      <c r="M334" s="76">
        <v>101.68</v>
      </c>
      <c r="N334" s="190"/>
      <c r="O334" s="153">
        <f>(J334+L334)*4+K334*9</f>
        <v>101.68</v>
      </c>
    </row>
    <row r="335" spans="2:15" ht="14.25">
      <c r="B335" s="5">
        <v>5</v>
      </c>
      <c r="C335" s="31" t="s">
        <v>66</v>
      </c>
      <c r="D335" s="15">
        <v>20</v>
      </c>
      <c r="E335" s="5" t="s">
        <v>28</v>
      </c>
      <c r="F335" s="5">
        <v>20</v>
      </c>
      <c r="G335" s="5">
        <v>20</v>
      </c>
      <c r="H335" s="174">
        <f>R13</f>
        <v>467</v>
      </c>
      <c r="I335" s="16">
        <f>F335*H335/1000</f>
        <v>9.34</v>
      </c>
      <c r="J335" s="235">
        <v>0</v>
      </c>
      <c r="K335" s="192">
        <v>16.4</v>
      </c>
      <c r="L335" s="192">
        <v>0.2</v>
      </c>
      <c r="M335" s="189">
        <v>148.4</v>
      </c>
      <c r="N335" s="190">
        <v>14</v>
      </c>
      <c r="O335" s="153">
        <f>(J335+L335)*4+K335*9</f>
        <v>148.4</v>
      </c>
    </row>
    <row r="336" spans="2:15" ht="14.25">
      <c r="B336" s="5">
        <v>6</v>
      </c>
      <c r="C336" s="133" t="s">
        <v>217</v>
      </c>
      <c r="D336" s="15">
        <v>200</v>
      </c>
      <c r="E336" s="5" t="s">
        <v>51</v>
      </c>
      <c r="F336" s="5">
        <v>1</v>
      </c>
      <c r="G336" s="5">
        <v>1</v>
      </c>
      <c r="H336" s="5">
        <f>R58</f>
        <v>507</v>
      </c>
      <c r="I336" s="16">
        <f t="shared" si="22"/>
        <v>0.51</v>
      </c>
      <c r="J336" s="16"/>
      <c r="K336" s="16"/>
      <c r="L336" s="16"/>
      <c r="M336" s="16"/>
      <c r="N336" s="44"/>
      <c r="O336" s="153"/>
    </row>
    <row r="337" spans="2:15" s="70" customFormat="1" ht="14.25">
      <c r="B337" s="135"/>
      <c r="C337" s="133"/>
      <c r="D337" s="135"/>
      <c r="E337" s="34" t="s">
        <v>218</v>
      </c>
      <c r="F337" s="34">
        <v>8</v>
      </c>
      <c r="G337" s="34">
        <v>7</v>
      </c>
      <c r="H337" s="34">
        <f>R63</f>
        <v>220</v>
      </c>
      <c r="I337" s="16">
        <f t="shared" si="22"/>
        <v>1.76</v>
      </c>
      <c r="J337" s="76"/>
      <c r="K337" s="76"/>
      <c r="L337" s="76"/>
      <c r="M337" s="76"/>
      <c r="N337" s="44"/>
      <c r="O337" s="184"/>
    </row>
    <row r="338" spans="2:15" ht="14.25">
      <c r="B338" s="15"/>
      <c r="C338" s="14"/>
      <c r="D338" s="15"/>
      <c r="E338" s="5" t="s">
        <v>2</v>
      </c>
      <c r="F338" s="5">
        <v>14</v>
      </c>
      <c r="G338" s="5">
        <v>14</v>
      </c>
      <c r="H338" s="5">
        <f>R50</f>
        <v>85</v>
      </c>
      <c r="I338" s="16">
        <f t="shared" si="22"/>
        <v>1.19</v>
      </c>
      <c r="J338" s="34">
        <v>9.02</v>
      </c>
      <c r="K338" s="34">
        <v>2.28</v>
      </c>
      <c r="L338" s="34">
        <v>15.42</v>
      </c>
      <c r="M338" s="34">
        <v>118.28</v>
      </c>
      <c r="N338" s="226">
        <v>377</v>
      </c>
      <c r="O338" s="153">
        <f>(J338+L338)*4+K338*9</f>
        <v>118.28</v>
      </c>
    </row>
    <row r="339" spans="2:15" ht="14.25">
      <c r="B339" s="15">
        <v>7</v>
      </c>
      <c r="C339" s="185" t="s">
        <v>131</v>
      </c>
      <c r="D339" s="5">
        <v>110</v>
      </c>
      <c r="E339" s="5" t="s">
        <v>132</v>
      </c>
      <c r="F339" s="34">
        <v>110</v>
      </c>
      <c r="G339" s="5"/>
      <c r="H339" s="5">
        <f>R30</f>
        <v>110</v>
      </c>
      <c r="I339" s="16">
        <f t="shared" si="22"/>
        <v>12.1</v>
      </c>
      <c r="J339" s="189">
        <v>0.44</v>
      </c>
      <c r="K339" s="189">
        <v>0.44</v>
      </c>
      <c r="L339" s="189">
        <v>10.78</v>
      </c>
      <c r="M339" s="189">
        <v>48.84</v>
      </c>
      <c r="N339" s="190">
        <v>368</v>
      </c>
      <c r="O339" s="153">
        <f>(J339+L339)*4+K339*9</f>
        <v>48.84</v>
      </c>
    </row>
    <row r="340" spans="2:15" ht="12.75" customHeight="1">
      <c r="B340" s="5"/>
      <c r="C340" s="8"/>
      <c r="D340" s="15"/>
      <c r="E340" s="5" t="s">
        <v>159</v>
      </c>
      <c r="F340" s="5">
        <v>4</v>
      </c>
      <c r="G340" s="5">
        <v>4</v>
      </c>
      <c r="H340" s="5">
        <f>R54</f>
        <v>27</v>
      </c>
      <c r="I340" s="16">
        <f t="shared" si="22"/>
        <v>0.11</v>
      </c>
      <c r="J340" s="16"/>
      <c r="K340" s="16"/>
      <c r="L340" s="16"/>
      <c r="M340" s="16"/>
      <c r="N340" s="44"/>
      <c r="O340" s="153"/>
    </row>
    <row r="341" spans="2:15" ht="15">
      <c r="B341" s="2"/>
      <c r="C341" s="2"/>
      <c r="D341" s="195">
        <f>SUM(D327:D340)</f>
        <v>660</v>
      </c>
      <c r="E341" s="5"/>
      <c r="F341" s="5"/>
      <c r="G341" s="5"/>
      <c r="H341" s="34"/>
      <c r="I341" s="68">
        <f>SUM(I327:I340)</f>
        <v>79.8</v>
      </c>
      <c r="J341" s="68">
        <f>SUM(J327:J340)</f>
        <v>31.96</v>
      </c>
      <c r="K341" s="68">
        <f>SUM(K327:K340)</f>
        <v>33.64</v>
      </c>
      <c r="L341" s="68">
        <f>SUM(L327:L340)</f>
        <v>97.76</v>
      </c>
      <c r="M341" s="68">
        <f>SUM(M327:M340)</f>
        <v>821.64</v>
      </c>
      <c r="N341" s="148"/>
      <c r="O341" s="153">
        <f>(J341+L341)*4+K341*9</f>
        <v>821.64</v>
      </c>
    </row>
    <row r="342" spans="2:15" ht="15">
      <c r="B342" s="2"/>
      <c r="C342" s="72" t="s">
        <v>139</v>
      </c>
      <c r="D342" s="5"/>
      <c r="E342" s="2"/>
      <c r="F342" s="5"/>
      <c r="G342" s="5"/>
      <c r="H342" s="5"/>
      <c r="I342" s="16"/>
      <c r="J342" s="16"/>
      <c r="K342" s="16"/>
      <c r="L342" s="16"/>
      <c r="M342" s="16"/>
      <c r="N342" s="44"/>
      <c r="O342" s="153"/>
    </row>
    <row r="343" spans="2:15" ht="14.25">
      <c r="B343" s="5">
        <v>1</v>
      </c>
      <c r="C343" s="14" t="s">
        <v>207</v>
      </c>
      <c r="D343" s="135">
        <v>250</v>
      </c>
      <c r="E343" s="5" t="s">
        <v>7</v>
      </c>
      <c r="F343" s="5">
        <v>100</v>
      </c>
      <c r="G343" s="5">
        <v>70</v>
      </c>
      <c r="H343" s="5">
        <f>R21</f>
        <v>54</v>
      </c>
      <c r="I343" s="16">
        <f aca="true" t="shared" si="23" ref="I343:I353">F343*H343/1000</f>
        <v>5.4</v>
      </c>
      <c r="J343" s="16"/>
      <c r="K343" s="16"/>
      <c r="L343" s="16"/>
      <c r="M343" s="16"/>
      <c r="N343" s="44"/>
      <c r="O343" s="153"/>
    </row>
    <row r="344" spans="2:15" s="70" customFormat="1" ht="14.25">
      <c r="B344" s="34"/>
      <c r="C344" s="220"/>
      <c r="D344" s="135"/>
      <c r="E344" s="34" t="s">
        <v>208</v>
      </c>
      <c r="F344" s="34">
        <v>30</v>
      </c>
      <c r="G344" s="34">
        <v>30</v>
      </c>
      <c r="H344" s="34">
        <f>R62</f>
        <v>185</v>
      </c>
      <c r="I344" s="76">
        <f t="shared" si="23"/>
        <v>5.55</v>
      </c>
      <c r="J344" s="76"/>
      <c r="K344" s="76"/>
      <c r="L344" s="76"/>
      <c r="M344" s="76"/>
      <c r="N344" s="44"/>
      <c r="O344" s="184"/>
    </row>
    <row r="345" spans="2:15" ht="14.25">
      <c r="B345" s="5"/>
      <c r="C345" s="8"/>
      <c r="D345" s="15"/>
      <c r="E345" s="5" t="s">
        <v>6</v>
      </c>
      <c r="F345" s="5">
        <v>3</v>
      </c>
      <c r="G345" s="5">
        <v>2</v>
      </c>
      <c r="H345" s="5">
        <f>R23</f>
        <v>49</v>
      </c>
      <c r="I345" s="16">
        <f t="shared" si="23"/>
        <v>0.15</v>
      </c>
      <c r="J345" s="16"/>
      <c r="K345" s="16"/>
      <c r="L345" s="16"/>
      <c r="M345" s="16"/>
      <c r="N345" s="44"/>
      <c r="O345" s="153"/>
    </row>
    <row r="346" spans="2:15" ht="14.25">
      <c r="B346" s="5"/>
      <c r="C346" s="8"/>
      <c r="D346" s="15"/>
      <c r="E346" s="5" t="s">
        <v>8</v>
      </c>
      <c r="F346" s="5">
        <v>20</v>
      </c>
      <c r="G346" s="5">
        <v>16</v>
      </c>
      <c r="H346" s="5">
        <f>R24</f>
        <v>60</v>
      </c>
      <c r="I346" s="16">
        <f t="shared" si="23"/>
        <v>1.2</v>
      </c>
      <c r="J346" s="16"/>
      <c r="K346" s="16"/>
      <c r="L346" s="16"/>
      <c r="M346" s="16"/>
      <c r="N346" s="44"/>
      <c r="O346" s="153"/>
    </row>
    <row r="347" spans="2:15" ht="14.25">
      <c r="B347" s="5"/>
      <c r="C347" s="8"/>
      <c r="D347" s="15"/>
      <c r="E347" s="5" t="s">
        <v>26</v>
      </c>
      <c r="F347" s="5">
        <v>5</v>
      </c>
      <c r="G347" s="5">
        <v>5</v>
      </c>
      <c r="H347" s="5">
        <f>R36</f>
        <v>145</v>
      </c>
      <c r="I347" s="16">
        <f t="shared" si="23"/>
        <v>0.73</v>
      </c>
      <c r="J347" s="16">
        <v>6.23</v>
      </c>
      <c r="K347" s="16">
        <v>0.8</v>
      </c>
      <c r="L347" s="16">
        <v>27.58</v>
      </c>
      <c r="M347" s="16">
        <v>142.44</v>
      </c>
      <c r="N347" s="174">
        <v>39</v>
      </c>
      <c r="O347" s="153">
        <f>(J347+L347)*4+K347*9</f>
        <v>142.44</v>
      </c>
    </row>
    <row r="348" spans="2:15" ht="14.25">
      <c r="B348" s="5">
        <v>2</v>
      </c>
      <c r="C348" s="224" t="s">
        <v>210</v>
      </c>
      <c r="D348" s="12">
        <v>100</v>
      </c>
      <c r="E348" s="12" t="s">
        <v>78</v>
      </c>
      <c r="F348" s="34">
        <v>154</v>
      </c>
      <c r="G348" s="34">
        <v>134</v>
      </c>
      <c r="H348" s="5">
        <f>R37</f>
        <v>210</v>
      </c>
      <c r="I348" s="16">
        <f t="shared" si="23"/>
        <v>32.34</v>
      </c>
      <c r="J348" s="16"/>
      <c r="K348" s="16"/>
      <c r="L348" s="16"/>
      <c r="M348" s="16"/>
      <c r="N348" s="44"/>
      <c r="O348" s="153"/>
    </row>
    <row r="349" spans="2:15" ht="14.25">
      <c r="B349" s="5"/>
      <c r="C349" s="11"/>
      <c r="D349" s="12"/>
      <c r="E349" s="12" t="s">
        <v>74</v>
      </c>
      <c r="F349" s="19">
        <v>11</v>
      </c>
      <c r="G349" s="19">
        <v>11</v>
      </c>
      <c r="H349" s="34">
        <f>R39</f>
        <v>40</v>
      </c>
      <c r="I349" s="16">
        <f t="shared" si="23"/>
        <v>0.44</v>
      </c>
      <c r="J349" s="16"/>
      <c r="K349" s="16"/>
      <c r="L349" s="16"/>
      <c r="M349" s="16"/>
      <c r="N349" s="44"/>
      <c r="O349" s="153"/>
    </row>
    <row r="350" spans="2:15" ht="14.25">
      <c r="B350" s="5"/>
      <c r="C350" s="11"/>
      <c r="D350" s="12"/>
      <c r="E350" s="12" t="s">
        <v>26</v>
      </c>
      <c r="F350" s="19">
        <v>11</v>
      </c>
      <c r="G350" s="19">
        <v>11</v>
      </c>
      <c r="H350" s="34">
        <f>R36</f>
        <v>145</v>
      </c>
      <c r="I350" s="16">
        <f t="shared" si="23"/>
        <v>1.6</v>
      </c>
      <c r="J350" s="16">
        <v>13.62</v>
      </c>
      <c r="K350" s="16">
        <v>7.46</v>
      </c>
      <c r="L350" s="16">
        <v>9.72</v>
      </c>
      <c r="M350" s="16">
        <v>160.5</v>
      </c>
      <c r="N350" s="44">
        <v>519</v>
      </c>
      <c r="O350" s="153">
        <f>(J350+L350)*4+K350*9</f>
        <v>160.5</v>
      </c>
    </row>
    <row r="351" spans="2:15" ht="14.25">
      <c r="B351" s="5">
        <v>3</v>
      </c>
      <c r="C351" s="14" t="s">
        <v>90</v>
      </c>
      <c r="D351" s="5">
        <v>150</v>
      </c>
      <c r="E351" s="5" t="s">
        <v>7</v>
      </c>
      <c r="F351" s="5">
        <v>214</v>
      </c>
      <c r="G351" s="5">
        <v>128</v>
      </c>
      <c r="H351" s="34">
        <f>R21</f>
        <v>54</v>
      </c>
      <c r="I351" s="16">
        <f t="shared" si="23"/>
        <v>11.56</v>
      </c>
      <c r="J351" s="16"/>
      <c r="K351" s="16"/>
      <c r="L351" s="16"/>
      <c r="M351" s="16"/>
      <c r="N351" s="44"/>
      <c r="O351" s="153"/>
    </row>
    <row r="352" spans="2:15" ht="14.25">
      <c r="B352" s="5"/>
      <c r="C352" s="31"/>
      <c r="D352" s="5"/>
      <c r="E352" s="5" t="s">
        <v>10</v>
      </c>
      <c r="F352" s="5">
        <v>30</v>
      </c>
      <c r="G352" s="5">
        <v>30</v>
      </c>
      <c r="H352" s="34">
        <f>R12</f>
        <v>72</v>
      </c>
      <c r="I352" s="16">
        <f t="shared" si="23"/>
        <v>2.16</v>
      </c>
      <c r="J352" s="16"/>
      <c r="K352" s="16"/>
      <c r="L352" s="16"/>
      <c r="M352" s="16"/>
      <c r="N352" s="44"/>
      <c r="O352" s="153"/>
    </row>
    <row r="353" spans="2:15" ht="14.25">
      <c r="B353" s="5"/>
      <c r="C353" s="32"/>
      <c r="D353" s="28"/>
      <c r="E353" s="28" t="s">
        <v>28</v>
      </c>
      <c r="F353" s="5">
        <v>5</v>
      </c>
      <c r="G353" s="5">
        <v>5</v>
      </c>
      <c r="H353" s="34">
        <f>R13</f>
        <v>467</v>
      </c>
      <c r="I353" s="16">
        <f t="shared" si="23"/>
        <v>2.34</v>
      </c>
      <c r="J353" s="16">
        <v>3.4</v>
      </c>
      <c r="K353" s="16">
        <v>6.06</v>
      </c>
      <c r="L353" s="16">
        <v>20.52</v>
      </c>
      <c r="M353" s="189">
        <f>(J353+L353)*4+K353*9</f>
        <v>150.22</v>
      </c>
      <c r="N353" s="190">
        <v>321</v>
      </c>
      <c r="O353" s="153">
        <f>(J353+L353)*4+K353*9</f>
        <v>150.22</v>
      </c>
    </row>
    <row r="354" spans="2:15" ht="14.25">
      <c r="B354" s="5">
        <v>4</v>
      </c>
      <c r="C354" s="31" t="s">
        <v>35</v>
      </c>
      <c r="D354" s="5">
        <v>40</v>
      </c>
      <c r="E354" s="5" t="s">
        <v>19</v>
      </c>
      <c r="F354" s="34">
        <v>40</v>
      </c>
      <c r="G354" s="34">
        <v>40</v>
      </c>
      <c r="H354" s="34">
        <f>R60</f>
        <v>48</v>
      </c>
      <c r="I354" s="16">
        <f>H354*F354/1000</f>
        <v>1.92</v>
      </c>
      <c r="J354" s="16">
        <v>2.68</v>
      </c>
      <c r="K354" s="16">
        <v>0.28</v>
      </c>
      <c r="L354" s="16">
        <v>20.12</v>
      </c>
      <c r="M354" s="16">
        <v>93.72</v>
      </c>
      <c r="N354" s="190"/>
      <c r="O354" s="153">
        <f>(J354+L354)*4+K354*9</f>
        <v>93.72</v>
      </c>
    </row>
    <row r="355" spans="2:15" ht="14.25">
      <c r="B355" s="5">
        <v>5</v>
      </c>
      <c r="C355" s="31" t="s">
        <v>81</v>
      </c>
      <c r="D355" s="15">
        <v>40</v>
      </c>
      <c r="E355" s="5" t="s">
        <v>19</v>
      </c>
      <c r="F355" s="5">
        <v>40</v>
      </c>
      <c r="G355" s="5">
        <v>40</v>
      </c>
      <c r="H355" s="34">
        <f>R61</f>
        <v>52</v>
      </c>
      <c r="I355" s="16">
        <f>H355*F355/1000</f>
        <v>2.08</v>
      </c>
      <c r="J355" s="76">
        <v>2.8</v>
      </c>
      <c r="K355" s="76">
        <v>0.72</v>
      </c>
      <c r="L355" s="76">
        <v>21</v>
      </c>
      <c r="M355" s="76">
        <v>101.68</v>
      </c>
      <c r="N355" s="190"/>
      <c r="O355" s="153">
        <f>(J355+L355)*4+K355*9</f>
        <v>101.68</v>
      </c>
    </row>
    <row r="356" spans="2:15" ht="14.25">
      <c r="B356" s="5">
        <v>6</v>
      </c>
      <c r="C356" s="31" t="s">
        <v>25</v>
      </c>
      <c r="D356" s="5">
        <v>200</v>
      </c>
      <c r="E356" s="5" t="s">
        <v>20</v>
      </c>
      <c r="F356" s="5">
        <v>14</v>
      </c>
      <c r="G356" s="5">
        <v>14</v>
      </c>
      <c r="H356" s="34">
        <f>R32</f>
        <v>140</v>
      </c>
      <c r="I356" s="16">
        <f>F356*H356/1000</f>
        <v>1.96</v>
      </c>
      <c r="J356" s="16"/>
      <c r="K356" s="16"/>
      <c r="L356" s="16"/>
      <c r="M356" s="16"/>
      <c r="N356" s="44"/>
      <c r="O356" s="153"/>
    </row>
    <row r="357" spans="2:15" ht="14.25">
      <c r="B357" s="5"/>
      <c r="C357" s="5"/>
      <c r="D357" s="5"/>
      <c r="E357" s="5" t="s">
        <v>2</v>
      </c>
      <c r="F357" s="5">
        <v>11</v>
      </c>
      <c r="G357" s="5">
        <v>11</v>
      </c>
      <c r="H357" s="34">
        <f>R50</f>
        <v>85</v>
      </c>
      <c r="I357" s="16">
        <f>F357*H357/1000</f>
        <v>0.94</v>
      </c>
      <c r="J357" s="192">
        <v>0.04</v>
      </c>
      <c r="K357" s="192">
        <v>0</v>
      </c>
      <c r="L357" s="192">
        <v>24.76</v>
      </c>
      <c r="M357" s="189">
        <f>(J357+L357)*4+K357*9</f>
        <v>99.2</v>
      </c>
      <c r="N357" s="190">
        <v>349</v>
      </c>
      <c r="O357" s="153">
        <f>(J357+L357)*4+K357*9</f>
        <v>99.2</v>
      </c>
    </row>
    <row r="358" spans="2:15" ht="14.25">
      <c r="B358" s="5"/>
      <c r="C358" s="14"/>
      <c r="D358" s="5"/>
      <c r="E358" s="5" t="s">
        <v>99</v>
      </c>
      <c r="F358" s="5">
        <v>0.0005</v>
      </c>
      <c r="G358" s="5">
        <v>0.0005</v>
      </c>
      <c r="H358" s="34"/>
      <c r="I358" s="16"/>
      <c r="J358" s="16"/>
      <c r="K358" s="16"/>
      <c r="L358" s="16"/>
      <c r="M358" s="16"/>
      <c r="N358" s="44"/>
      <c r="O358" s="153"/>
    </row>
    <row r="359" spans="2:15" ht="14.25">
      <c r="B359" s="5">
        <v>7</v>
      </c>
      <c r="C359" s="186" t="s">
        <v>131</v>
      </c>
      <c r="D359" s="136">
        <v>85</v>
      </c>
      <c r="E359" s="12" t="s">
        <v>132</v>
      </c>
      <c r="F359" s="137">
        <v>85</v>
      </c>
      <c r="G359" s="5"/>
      <c r="H359" s="34">
        <f>R30</f>
        <v>110</v>
      </c>
      <c r="I359" s="16">
        <f>F359*H359/1000</f>
        <v>9.35</v>
      </c>
      <c r="J359" s="189">
        <v>0.34</v>
      </c>
      <c r="K359" s="189">
        <v>0.34</v>
      </c>
      <c r="L359" s="189">
        <v>8.33</v>
      </c>
      <c r="M359" s="189">
        <v>37.74</v>
      </c>
      <c r="N359" s="190">
        <v>368</v>
      </c>
      <c r="O359" s="153">
        <f>(J359+L359)*4+K359*9</f>
        <v>37.74</v>
      </c>
    </row>
    <row r="360" spans="2:15" ht="14.25">
      <c r="B360" s="5"/>
      <c r="C360" s="31"/>
      <c r="D360" s="5"/>
      <c r="E360" s="5" t="s">
        <v>159</v>
      </c>
      <c r="F360" s="5">
        <v>2.5</v>
      </c>
      <c r="G360" s="5">
        <v>2.5</v>
      </c>
      <c r="H360" s="5">
        <f>R54</f>
        <v>27</v>
      </c>
      <c r="I360" s="16">
        <f>F360*H360/1000</f>
        <v>0.07</v>
      </c>
      <c r="J360" s="16"/>
      <c r="K360" s="16"/>
      <c r="L360" s="16"/>
      <c r="M360" s="16"/>
      <c r="N360" s="44"/>
      <c r="O360" s="153"/>
    </row>
    <row r="361" spans="2:15" ht="14.25">
      <c r="B361" s="5"/>
      <c r="C361" s="31"/>
      <c r="D361" s="5"/>
      <c r="E361" s="5" t="s">
        <v>93</v>
      </c>
      <c r="F361" s="5">
        <v>0.02</v>
      </c>
      <c r="G361" s="5">
        <v>0.02</v>
      </c>
      <c r="H361" s="5">
        <f>R59</f>
        <v>617</v>
      </c>
      <c r="I361" s="16">
        <f>F361*H361/1000</f>
        <v>0.01</v>
      </c>
      <c r="J361" s="16"/>
      <c r="K361" s="16"/>
      <c r="L361" s="16"/>
      <c r="M361" s="16"/>
      <c r="N361" s="44"/>
      <c r="O361" s="153"/>
    </row>
    <row r="362" spans="2:15" ht="15">
      <c r="B362" s="5"/>
      <c r="C362" s="31"/>
      <c r="D362" s="195">
        <f>SUM(D343:D361)</f>
        <v>865</v>
      </c>
      <c r="E362" s="5"/>
      <c r="F362" s="34"/>
      <c r="G362" s="34"/>
      <c r="H362" s="34"/>
      <c r="I362" s="68">
        <f>SUM(I343:I361)</f>
        <v>79.8</v>
      </c>
      <c r="J362" s="68">
        <f>SUM(J343:J361)</f>
        <v>29.11</v>
      </c>
      <c r="K362" s="68">
        <f>SUM(K343:K361)</f>
        <v>15.66</v>
      </c>
      <c r="L362" s="68">
        <f>SUM(L343:L361)</f>
        <v>132.03</v>
      </c>
      <c r="M362" s="68">
        <f>SUM(M343:M361)</f>
        <v>785.5</v>
      </c>
      <c r="N362" s="148"/>
      <c r="O362" s="153">
        <f>(J362+L362)*4+K362*9</f>
        <v>785.5</v>
      </c>
    </row>
    <row r="363" spans="2:15" ht="15">
      <c r="B363" s="21"/>
      <c r="C363" s="74"/>
      <c r="D363" s="27"/>
      <c r="E363" s="27"/>
      <c r="O363" s="153"/>
    </row>
    <row r="364" spans="2:15" ht="15">
      <c r="B364" s="21"/>
      <c r="C364" s="74" t="s">
        <v>41</v>
      </c>
      <c r="D364" s="27"/>
      <c r="E364" s="27"/>
      <c r="O364" s="153"/>
    </row>
    <row r="365" spans="2:15" ht="28.5">
      <c r="B365" s="253" t="s">
        <v>3</v>
      </c>
      <c r="C365" s="8"/>
      <c r="D365" s="8" t="s">
        <v>4</v>
      </c>
      <c r="E365" s="253" t="s">
        <v>29</v>
      </c>
      <c r="F365" s="96" t="s">
        <v>12</v>
      </c>
      <c r="G365" s="96" t="s">
        <v>57</v>
      </c>
      <c r="H365" s="96" t="s">
        <v>30</v>
      </c>
      <c r="I365" s="96" t="s">
        <v>31</v>
      </c>
      <c r="J365" s="252" t="s">
        <v>70</v>
      </c>
      <c r="K365" s="252" t="s">
        <v>71</v>
      </c>
      <c r="L365" s="252" t="s">
        <v>72</v>
      </c>
      <c r="M365" s="252" t="s">
        <v>73</v>
      </c>
      <c r="N365" s="250" t="s">
        <v>144</v>
      </c>
      <c r="O365" s="153"/>
    </row>
    <row r="366" spans="2:15" ht="15">
      <c r="B366" s="257"/>
      <c r="C366" s="71" t="s">
        <v>138</v>
      </c>
      <c r="D366" s="25" t="s">
        <v>32</v>
      </c>
      <c r="E366" s="255"/>
      <c r="F366" s="5" t="s">
        <v>32</v>
      </c>
      <c r="G366" s="57" t="s">
        <v>32</v>
      </c>
      <c r="H366" s="5" t="s">
        <v>33</v>
      </c>
      <c r="I366" s="5" t="s">
        <v>34</v>
      </c>
      <c r="J366" s="254"/>
      <c r="K366" s="254"/>
      <c r="L366" s="254"/>
      <c r="M366" s="254"/>
      <c r="N366" s="256"/>
      <c r="O366" s="153"/>
    </row>
    <row r="367" spans="2:15" ht="14.25">
      <c r="B367" s="15">
        <v>1</v>
      </c>
      <c r="C367" s="14" t="s">
        <v>152</v>
      </c>
      <c r="D367" s="9" t="s">
        <v>227</v>
      </c>
      <c r="E367" s="8" t="s">
        <v>91</v>
      </c>
      <c r="F367" s="8">
        <v>172</v>
      </c>
      <c r="G367" s="8">
        <v>171</v>
      </c>
      <c r="H367" s="34">
        <f>R15</f>
        <v>217</v>
      </c>
      <c r="I367" s="29">
        <f aca="true" t="shared" si="24" ref="I367:I379">F367*H367/1000</f>
        <v>37.32</v>
      </c>
      <c r="J367" s="16"/>
      <c r="K367" s="16"/>
      <c r="L367" s="16"/>
      <c r="M367" s="16"/>
      <c r="N367" s="44"/>
      <c r="O367" s="153"/>
    </row>
    <row r="368" spans="2:15" ht="14.25">
      <c r="B368" s="15"/>
      <c r="C368" s="14" t="s">
        <v>133</v>
      </c>
      <c r="D368" s="9"/>
      <c r="E368" s="8" t="s">
        <v>74</v>
      </c>
      <c r="F368" s="8">
        <v>24</v>
      </c>
      <c r="G368" s="8">
        <v>24</v>
      </c>
      <c r="H368" s="34">
        <f>R39</f>
        <v>40</v>
      </c>
      <c r="I368" s="29">
        <f t="shared" si="24"/>
        <v>0.96</v>
      </c>
      <c r="J368" s="16"/>
      <c r="K368" s="16"/>
      <c r="L368" s="16"/>
      <c r="M368" s="16"/>
      <c r="N368" s="44"/>
      <c r="O368" s="153"/>
    </row>
    <row r="369" spans="2:15" ht="14.25">
      <c r="B369" s="15"/>
      <c r="C369" s="14"/>
      <c r="D369" s="9"/>
      <c r="E369" s="8" t="s">
        <v>2</v>
      </c>
      <c r="F369" s="8">
        <v>18</v>
      </c>
      <c r="G369" s="8">
        <v>18</v>
      </c>
      <c r="H369" s="34">
        <f>R50</f>
        <v>85</v>
      </c>
      <c r="I369" s="29">
        <f t="shared" si="24"/>
        <v>1.53</v>
      </c>
      <c r="J369" s="16"/>
      <c r="K369" s="16"/>
      <c r="L369" s="16"/>
      <c r="M369" s="16"/>
      <c r="N369" s="44"/>
      <c r="O369" s="153"/>
    </row>
    <row r="370" spans="2:15" ht="14.25">
      <c r="B370" s="15"/>
      <c r="C370" s="14"/>
      <c r="D370" s="9"/>
      <c r="E370" s="8" t="s">
        <v>11</v>
      </c>
      <c r="F370" s="8">
        <v>0.19</v>
      </c>
      <c r="G370" s="8">
        <v>0.19</v>
      </c>
      <c r="H370" s="76">
        <f>R5</f>
        <v>13.5</v>
      </c>
      <c r="I370" s="29">
        <f>F370*H370</f>
        <v>2.57</v>
      </c>
      <c r="J370" s="16"/>
      <c r="K370" s="16"/>
      <c r="L370" s="16"/>
      <c r="M370" s="16"/>
      <c r="N370" s="44"/>
      <c r="O370" s="153"/>
    </row>
    <row r="371" spans="2:15" ht="14.25">
      <c r="B371" s="15"/>
      <c r="C371" s="14"/>
      <c r="D371" s="9"/>
      <c r="E371" s="8" t="s">
        <v>28</v>
      </c>
      <c r="F371" s="8">
        <v>10</v>
      </c>
      <c r="G371" s="8">
        <v>10</v>
      </c>
      <c r="H371" s="34">
        <f>R13</f>
        <v>467</v>
      </c>
      <c r="I371" s="29">
        <f t="shared" si="24"/>
        <v>4.67</v>
      </c>
      <c r="J371" s="16"/>
      <c r="K371" s="16"/>
      <c r="L371" s="16"/>
      <c r="M371" s="16"/>
      <c r="N371" s="44"/>
      <c r="O371" s="153"/>
    </row>
    <row r="372" spans="2:15" ht="14.25">
      <c r="B372" s="15"/>
      <c r="C372" s="14"/>
      <c r="D372" s="9"/>
      <c r="E372" s="8" t="s">
        <v>146</v>
      </c>
      <c r="F372" s="8">
        <v>14</v>
      </c>
      <c r="G372" s="8">
        <v>14</v>
      </c>
      <c r="H372" s="34">
        <f>R60</f>
        <v>48</v>
      </c>
      <c r="I372" s="29">
        <f t="shared" si="24"/>
        <v>0.67</v>
      </c>
      <c r="J372" s="16"/>
      <c r="K372" s="16"/>
      <c r="L372" s="16"/>
      <c r="M372" s="16"/>
      <c r="N372" s="44"/>
      <c r="O372" s="153"/>
    </row>
    <row r="373" spans="2:15" ht="14.25">
      <c r="B373" s="15"/>
      <c r="C373" s="14"/>
      <c r="D373" s="9"/>
      <c r="E373" s="8" t="s">
        <v>9</v>
      </c>
      <c r="F373" s="8">
        <v>12</v>
      </c>
      <c r="G373" s="8">
        <v>12</v>
      </c>
      <c r="H373" s="34">
        <f>R14</f>
        <v>199</v>
      </c>
      <c r="I373" s="29">
        <f t="shared" si="24"/>
        <v>2.39</v>
      </c>
      <c r="J373" s="16"/>
      <c r="K373" s="16"/>
      <c r="L373" s="16"/>
      <c r="M373" s="16"/>
      <c r="N373" s="44"/>
      <c r="O373" s="153"/>
    </row>
    <row r="374" spans="2:15" ht="14.25">
      <c r="B374" s="15"/>
      <c r="C374" s="14"/>
      <c r="D374" s="5"/>
      <c r="E374" s="5" t="s">
        <v>97</v>
      </c>
      <c r="F374" s="5">
        <v>30</v>
      </c>
      <c r="G374" s="5">
        <v>30</v>
      </c>
      <c r="H374" s="34">
        <f>R20</f>
        <v>247</v>
      </c>
      <c r="I374" s="29">
        <f>F374*H374/1000</f>
        <v>7.41</v>
      </c>
      <c r="J374" s="16">
        <v>17.54</v>
      </c>
      <c r="K374" s="16">
        <v>28.56</v>
      </c>
      <c r="L374" s="16">
        <v>17.15</v>
      </c>
      <c r="M374" s="16">
        <v>395.8</v>
      </c>
      <c r="N374" s="44">
        <v>492</v>
      </c>
      <c r="O374" s="153">
        <f>(J374+L374)*4+K374*9</f>
        <v>395.8</v>
      </c>
    </row>
    <row r="375" spans="2:15" ht="14.25">
      <c r="B375" s="15">
        <v>2</v>
      </c>
      <c r="C375" s="2" t="s">
        <v>35</v>
      </c>
      <c r="D375" s="5">
        <v>40</v>
      </c>
      <c r="E375" s="8" t="s">
        <v>19</v>
      </c>
      <c r="F375" s="19">
        <v>40</v>
      </c>
      <c r="G375" s="19">
        <v>40</v>
      </c>
      <c r="H375" s="34">
        <f>R60</f>
        <v>48</v>
      </c>
      <c r="I375" s="29">
        <f>F375*H375/1000</f>
        <v>1.92</v>
      </c>
      <c r="J375" s="189">
        <v>2.45</v>
      </c>
      <c r="K375" s="189">
        <v>7.63</v>
      </c>
      <c r="L375" s="189">
        <v>14.62</v>
      </c>
      <c r="M375" s="189">
        <v>136.95</v>
      </c>
      <c r="N375" s="190"/>
      <c r="O375" s="153">
        <f>(J375+L375)*4+K375*9</f>
        <v>136.95</v>
      </c>
    </row>
    <row r="376" spans="2:15" s="70" customFormat="1" ht="14.25">
      <c r="B376" s="135">
        <v>3</v>
      </c>
      <c r="C376" s="133" t="s">
        <v>217</v>
      </c>
      <c r="D376" s="34">
        <v>200</v>
      </c>
      <c r="E376" s="34" t="s">
        <v>14</v>
      </c>
      <c r="F376" s="34">
        <v>1</v>
      </c>
      <c r="G376" s="34">
        <v>1</v>
      </c>
      <c r="H376" s="34">
        <f>R58</f>
        <v>507</v>
      </c>
      <c r="I376" s="236">
        <f>F376*H376/1000</f>
        <v>0.51</v>
      </c>
      <c r="J376" s="76"/>
      <c r="K376" s="76"/>
      <c r="L376" s="76"/>
      <c r="M376" s="76"/>
      <c r="N376" s="44"/>
      <c r="O376" s="184"/>
    </row>
    <row r="377" spans="2:15" s="70" customFormat="1" ht="14.25">
      <c r="B377" s="135"/>
      <c r="C377" s="133"/>
      <c r="D377" s="34"/>
      <c r="E377" s="34" t="s">
        <v>218</v>
      </c>
      <c r="F377" s="34">
        <v>8</v>
      </c>
      <c r="G377" s="34">
        <v>7</v>
      </c>
      <c r="H377" s="34">
        <f>R63</f>
        <v>220</v>
      </c>
      <c r="I377" s="236">
        <f>F377*H377/1000</f>
        <v>1.76</v>
      </c>
      <c r="J377" s="76"/>
      <c r="K377" s="76"/>
      <c r="L377" s="76"/>
      <c r="M377" s="76"/>
      <c r="N377" s="44"/>
      <c r="O377" s="184"/>
    </row>
    <row r="378" spans="2:15" s="70" customFormat="1" ht="14.25">
      <c r="B378" s="135"/>
      <c r="C378" s="133"/>
      <c r="D378" s="34"/>
      <c r="E378" s="34" t="s">
        <v>2</v>
      </c>
      <c r="F378" s="34">
        <v>13</v>
      </c>
      <c r="G378" s="34">
        <v>13</v>
      </c>
      <c r="H378" s="34">
        <f>R50</f>
        <v>85</v>
      </c>
      <c r="I378" s="236">
        <f>F378*H378/1000</f>
        <v>1.11</v>
      </c>
      <c r="J378" s="34">
        <v>9.02</v>
      </c>
      <c r="K378" s="34">
        <v>2.28</v>
      </c>
      <c r="L378" s="34">
        <v>15.42</v>
      </c>
      <c r="M378" s="34">
        <v>118.28</v>
      </c>
      <c r="N378" s="226">
        <v>377</v>
      </c>
      <c r="O378" s="184">
        <f>(J378+L378)*4+K378*9</f>
        <v>118.28</v>
      </c>
    </row>
    <row r="379" spans="2:15" ht="14.25">
      <c r="B379" s="5">
        <v>4</v>
      </c>
      <c r="C379" s="187" t="s">
        <v>229</v>
      </c>
      <c r="D379" s="34">
        <v>60</v>
      </c>
      <c r="E379" s="34" t="s">
        <v>230</v>
      </c>
      <c r="F379" s="5">
        <v>60</v>
      </c>
      <c r="G379" s="5"/>
      <c r="H379" s="34">
        <f>R65</f>
        <v>283</v>
      </c>
      <c r="I379" s="29">
        <f t="shared" si="24"/>
        <v>16.98</v>
      </c>
      <c r="J379" s="16">
        <v>0.24</v>
      </c>
      <c r="K379" s="16">
        <v>0.18</v>
      </c>
      <c r="L379" s="16">
        <v>6.12</v>
      </c>
      <c r="M379" s="16">
        <v>27.06</v>
      </c>
      <c r="N379" s="44">
        <v>368</v>
      </c>
      <c r="O379" s="153">
        <f>(J379+L379)*4+K379*9</f>
        <v>27.06</v>
      </c>
    </row>
    <row r="380" spans="2:15" ht="15">
      <c r="B380" s="2"/>
      <c r="C380" s="2"/>
      <c r="D380" s="195">
        <v>570</v>
      </c>
      <c r="E380" s="2"/>
      <c r="F380" s="2"/>
      <c r="G380" s="2"/>
      <c r="H380" s="2"/>
      <c r="I380" s="68">
        <f>SUM(I367:I379)</f>
        <v>79.8</v>
      </c>
      <c r="J380" s="68">
        <f>SUM(J367:J379)</f>
        <v>29.25</v>
      </c>
      <c r="K380" s="68">
        <f>SUM(K367:K379)</f>
        <v>38.65</v>
      </c>
      <c r="L380" s="68">
        <f>SUM(L367:L379)</f>
        <v>53.31</v>
      </c>
      <c r="M380" s="68">
        <f>SUM(M367:M379)</f>
        <v>678.09</v>
      </c>
      <c r="N380" s="144"/>
      <c r="O380" s="153">
        <f>(J380+L380)*4+K380*9</f>
        <v>678.09</v>
      </c>
    </row>
    <row r="381" spans="2:15" ht="15">
      <c r="B381" s="28"/>
      <c r="C381" s="72" t="s">
        <v>139</v>
      </c>
      <c r="D381" s="28"/>
      <c r="E381" s="28"/>
      <c r="F381" s="28"/>
      <c r="G381" s="28"/>
      <c r="H381" s="28"/>
      <c r="I381" s="29"/>
      <c r="J381" s="16"/>
      <c r="K381" s="16"/>
      <c r="L381" s="16"/>
      <c r="M381" s="16"/>
      <c r="N381" s="44"/>
      <c r="O381" s="153"/>
    </row>
    <row r="382" spans="2:15" ht="14.25">
      <c r="B382" s="5">
        <v>1</v>
      </c>
      <c r="C382" s="14" t="s">
        <v>121</v>
      </c>
      <c r="D382" s="135">
        <v>200</v>
      </c>
      <c r="E382" s="5" t="s">
        <v>7</v>
      </c>
      <c r="F382" s="5">
        <v>104</v>
      </c>
      <c r="G382" s="5">
        <v>77</v>
      </c>
      <c r="H382" s="5">
        <f>R21</f>
        <v>54</v>
      </c>
      <c r="I382" s="29">
        <f aca="true" t="shared" si="25" ref="I382:I387">F382*H382/1000</f>
        <v>5.62</v>
      </c>
      <c r="J382" s="16"/>
      <c r="K382" s="16"/>
      <c r="L382" s="16"/>
      <c r="M382" s="16"/>
      <c r="N382" s="44"/>
      <c r="O382" s="153"/>
    </row>
    <row r="383" spans="2:15" ht="14.25">
      <c r="B383" s="5"/>
      <c r="C383" s="8"/>
      <c r="D383" s="15"/>
      <c r="E383" s="5" t="s">
        <v>1</v>
      </c>
      <c r="F383" s="5">
        <v>8</v>
      </c>
      <c r="G383" s="5">
        <v>8</v>
      </c>
      <c r="H383" s="5">
        <f>R43</f>
        <v>116</v>
      </c>
      <c r="I383" s="29">
        <f t="shared" si="25"/>
        <v>0.93</v>
      </c>
      <c r="J383" s="16"/>
      <c r="K383" s="16"/>
      <c r="L383" s="16"/>
      <c r="M383" s="16"/>
      <c r="N383" s="44"/>
      <c r="O383" s="153"/>
    </row>
    <row r="384" spans="2:15" ht="14.25">
      <c r="B384" s="5"/>
      <c r="C384" s="8"/>
      <c r="D384" s="15"/>
      <c r="E384" s="5" t="s">
        <v>8</v>
      </c>
      <c r="F384" s="5">
        <v>11</v>
      </c>
      <c r="G384" s="5">
        <v>9</v>
      </c>
      <c r="H384" s="5">
        <f>R24</f>
        <v>60</v>
      </c>
      <c r="I384" s="29">
        <f t="shared" si="25"/>
        <v>0.66</v>
      </c>
      <c r="J384" s="16"/>
      <c r="K384" s="16"/>
      <c r="L384" s="16"/>
      <c r="M384" s="16"/>
      <c r="N384" s="44"/>
      <c r="O384" s="153"/>
    </row>
    <row r="385" spans="2:15" ht="14.25">
      <c r="B385" s="5"/>
      <c r="C385" s="8"/>
      <c r="D385" s="15"/>
      <c r="E385" s="5" t="s">
        <v>24</v>
      </c>
      <c r="F385" s="5">
        <v>9</v>
      </c>
      <c r="G385" s="5">
        <v>8</v>
      </c>
      <c r="H385" s="5">
        <f>R23</f>
        <v>49</v>
      </c>
      <c r="I385" s="29">
        <f t="shared" si="25"/>
        <v>0.44</v>
      </c>
      <c r="J385" s="16"/>
      <c r="K385" s="16"/>
      <c r="L385" s="16"/>
      <c r="M385" s="16"/>
      <c r="N385" s="44"/>
      <c r="O385" s="153"/>
    </row>
    <row r="386" spans="2:15" ht="14.25">
      <c r="B386" s="5"/>
      <c r="C386" s="8"/>
      <c r="D386" s="15"/>
      <c r="E386" s="5" t="s">
        <v>26</v>
      </c>
      <c r="F386" s="5">
        <v>5</v>
      </c>
      <c r="G386" s="5">
        <v>5</v>
      </c>
      <c r="H386" s="141">
        <f>R36</f>
        <v>145</v>
      </c>
      <c r="I386" s="29">
        <f>F386*H386/1000</f>
        <v>0.73</v>
      </c>
      <c r="J386" s="16">
        <v>2.47</v>
      </c>
      <c r="K386" s="16">
        <v>4.32</v>
      </c>
      <c r="L386" s="16">
        <v>15.74</v>
      </c>
      <c r="M386" s="16">
        <v>111.72</v>
      </c>
      <c r="N386" s="167">
        <v>219</v>
      </c>
      <c r="O386" s="153">
        <f>(J386+L386)*4+K386*9</f>
        <v>111.72</v>
      </c>
    </row>
    <row r="387" spans="2:15" ht="14.25">
      <c r="B387" s="5">
        <v>2</v>
      </c>
      <c r="C387" s="31" t="s">
        <v>148</v>
      </c>
      <c r="D387" s="34">
        <v>70</v>
      </c>
      <c r="E387" s="5" t="s">
        <v>16</v>
      </c>
      <c r="F387" s="5">
        <v>53</v>
      </c>
      <c r="G387" s="5">
        <v>53</v>
      </c>
      <c r="H387" s="18">
        <f>R6</f>
        <v>622</v>
      </c>
      <c r="I387" s="10">
        <f t="shared" si="25"/>
        <v>32.97</v>
      </c>
      <c r="J387" s="10"/>
      <c r="K387" s="10"/>
      <c r="L387" s="10"/>
      <c r="M387" s="10"/>
      <c r="N387" s="158"/>
      <c r="O387" s="153"/>
    </row>
    <row r="388" spans="2:19" ht="15">
      <c r="B388" s="5"/>
      <c r="C388" s="5"/>
      <c r="D388" s="5"/>
      <c r="E388" s="5" t="s">
        <v>19</v>
      </c>
      <c r="F388" s="5">
        <v>13</v>
      </c>
      <c r="G388" s="5">
        <v>13</v>
      </c>
      <c r="H388" s="34">
        <f>R60</f>
        <v>48</v>
      </c>
      <c r="I388" s="16">
        <f aca="true" t="shared" si="26" ref="I388:I397">H388*F388/1000</f>
        <v>0.62</v>
      </c>
      <c r="J388" s="16"/>
      <c r="K388" s="16"/>
      <c r="L388" s="16"/>
      <c r="M388" s="16"/>
      <c r="N388" s="44"/>
      <c r="O388" s="153"/>
      <c r="S388" s="42"/>
    </row>
    <row r="389" spans="2:19" ht="15">
      <c r="B389" s="5"/>
      <c r="C389" s="5"/>
      <c r="D389" s="5"/>
      <c r="E389" s="5" t="s">
        <v>146</v>
      </c>
      <c r="F389" s="5">
        <v>11</v>
      </c>
      <c r="G389" s="5">
        <v>11</v>
      </c>
      <c r="H389" s="34">
        <f>R60</f>
        <v>48</v>
      </c>
      <c r="I389" s="16">
        <f t="shared" si="26"/>
        <v>0.53</v>
      </c>
      <c r="J389" s="16"/>
      <c r="K389" s="16"/>
      <c r="L389" s="16"/>
      <c r="M389" s="16"/>
      <c r="N389" s="44"/>
      <c r="O389" s="153"/>
      <c r="S389" s="42"/>
    </row>
    <row r="390" spans="2:19" ht="15">
      <c r="B390" s="5"/>
      <c r="C390" s="5"/>
      <c r="D390" s="5"/>
      <c r="E390" s="5" t="s">
        <v>6</v>
      </c>
      <c r="F390" s="5">
        <v>12</v>
      </c>
      <c r="G390" s="5">
        <v>10</v>
      </c>
      <c r="H390" s="44">
        <f>R23</f>
        <v>49</v>
      </c>
      <c r="I390" s="16">
        <f>H390*F390/1000</f>
        <v>0.59</v>
      </c>
      <c r="J390" s="16"/>
      <c r="K390" s="16"/>
      <c r="L390" s="16"/>
      <c r="M390" s="16"/>
      <c r="N390" s="44"/>
      <c r="O390" s="153"/>
      <c r="S390" s="42"/>
    </row>
    <row r="391" spans="2:19" ht="15">
      <c r="B391" s="5"/>
      <c r="C391" s="5"/>
      <c r="D391" s="5"/>
      <c r="E391" s="5" t="s">
        <v>11</v>
      </c>
      <c r="F391" s="5">
        <v>0.12</v>
      </c>
      <c r="G391" s="5">
        <v>0.12</v>
      </c>
      <c r="H391" s="76">
        <f>R5</f>
        <v>13.5</v>
      </c>
      <c r="I391" s="16">
        <f>H391*F391</f>
        <v>1.62</v>
      </c>
      <c r="J391" s="16"/>
      <c r="K391" s="16"/>
      <c r="L391" s="16"/>
      <c r="M391" s="16"/>
      <c r="N391" s="44"/>
      <c r="O391" s="153"/>
      <c r="S391" s="42"/>
    </row>
    <row r="392" spans="2:19" ht="15">
      <c r="B392" s="5"/>
      <c r="C392" s="5"/>
      <c r="D392" s="5"/>
      <c r="E392" s="5" t="s">
        <v>26</v>
      </c>
      <c r="F392" s="5">
        <v>4</v>
      </c>
      <c r="G392" s="5">
        <v>4</v>
      </c>
      <c r="H392" s="34">
        <f>R36</f>
        <v>145</v>
      </c>
      <c r="I392" s="16">
        <f t="shared" si="26"/>
        <v>0.58</v>
      </c>
      <c r="J392" s="189">
        <v>10.89</v>
      </c>
      <c r="K392" s="189">
        <v>17.31</v>
      </c>
      <c r="L392" s="189">
        <v>11</v>
      </c>
      <c r="M392" s="189">
        <v>243.35</v>
      </c>
      <c r="N392" s="190">
        <v>658</v>
      </c>
      <c r="O392" s="153">
        <f aca="true" t="shared" si="27" ref="O392:O398">(J392+L392)*4+K392*9</f>
        <v>243.35</v>
      </c>
      <c r="S392" s="42"/>
    </row>
    <row r="393" spans="2:19" ht="15">
      <c r="B393" s="5"/>
      <c r="C393" s="31" t="s">
        <v>135</v>
      </c>
      <c r="D393" s="5">
        <v>50</v>
      </c>
      <c r="E393" s="5" t="s">
        <v>9</v>
      </c>
      <c r="F393" s="5">
        <v>13</v>
      </c>
      <c r="G393" s="5">
        <v>13</v>
      </c>
      <c r="H393" s="97">
        <f>R14</f>
        <v>199</v>
      </c>
      <c r="I393" s="16">
        <f t="shared" si="26"/>
        <v>2.59</v>
      </c>
      <c r="J393" s="16"/>
      <c r="K393" s="16"/>
      <c r="L393" s="16"/>
      <c r="M393" s="16"/>
      <c r="N393" s="44"/>
      <c r="O393" s="153"/>
      <c r="S393" s="42"/>
    </row>
    <row r="394" spans="2:19" ht="15">
      <c r="B394" s="28"/>
      <c r="C394" s="5"/>
      <c r="D394" s="5"/>
      <c r="E394" s="5" t="s">
        <v>74</v>
      </c>
      <c r="F394" s="5">
        <v>4</v>
      </c>
      <c r="G394" s="5">
        <v>4</v>
      </c>
      <c r="H394" s="97">
        <f>R39</f>
        <v>40</v>
      </c>
      <c r="I394" s="16">
        <f t="shared" si="26"/>
        <v>0.16</v>
      </c>
      <c r="J394" s="16"/>
      <c r="K394" s="16"/>
      <c r="L394" s="16"/>
      <c r="M394" s="16"/>
      <c r="N394" s="44"/>
      <c r="O394" s="153"/>
      <c r="S394" s="42"/>
    </row>
    <row r="395" spans="2:19" ht="15">
      <c r="B395" s="28"/>
      <c r="C395" s="5"/>
      <c r="D395" s="5"/>
      <c r="E395" s="5" t="s">
        <v>18</v>
      </c>
      <c r="F395" s="5">
        <v>5</v>
      </c>
      <c r="G395" s="5">
        <v>5</v>
      </c>
      <c r="H395" s="97">
        <f>R29</f>
        <v>142</v>
      </c>
      <c r="I395" s="16">
        <f t="shared" si="26"/>
        <v>0.71</v>
      </c>
      <c r="J395" s="191">
        <v>0.88</v>
      </c>
      <c r="K395" s="191">
        <v>2.81</v>
      </c>
      <c r="L395" s="191">
        <v>3.51</v>
      </c>
      <c r="M395" s="189">
        <f>(J395+L395)*4+K395*9</f>
        <v>42.85</v>
      </c>
      <c r="N395" s="190">
        <v>355</v>
      </c>
      <c r="O395" s="153">
        <f t="shared" si="27"/>
        <v>42.85</v>
      </c>
      <c r="S395" s="42"/>
    </row>
    <row r="396" spans="2:19" ht="15">
      <c r="B396" s="28">
        <v>3</v>
      </c>
      <c r="C396" s="225" t="s">
        <v>196</v>
      </c>
      <c r="D396" s="163">
        <v>150</v>
      </c>
      <c r="E396" s="177" t="s">
        <v>197</v>
      </c>
      <c r="F396" s="163">
        <v>50</v>
      </c>
      <c r="G396" s="163">
        <v>50</v>
      </c>
      <c r="H396" s="97">
        <f>R48</f>
        <v>48</v>
      </c>
      <c r="I396" s="16">
        <f t="shared" si="26"/>
        <v>2.4</v>
      </c>
      <c r="J396" s="76"/>
      <c r="K396" s="76"/>
      <c r="L396" s="76"/>
      <c r="M396" s="76"/>
      <c r="N396" s="173"/>
      <c r="O396" s="153"/>
      <c r="S396" s="42"/>
    </row>
    <row r="397" spans="2:19" ht="15">
      <c r="B397" s="28"/>
      <c r="C397" s="181"/>
      <c r="D397" s="163"/>
      <c r="E397" s="177" t="s">
        <v>28</v>
      </c>
      <c r="F397" s="163">
        <v>7</v>
      </c>
      <c r="G397" s="163">
        <v>7</v>
      </c>
      <c r="H397" s="97">
        <f>R13</f>
        <v>467</v>
      </c>
      <c r="I397" s="16">
        <f t="shared" si="26"/>
        <v>3.27</v>
      </c>
      <c r="J397" s="16">
        <v>8.1</v>
      </c>
      <c r="K397" s="16">
        <v>0.9</v>
      </c>
      <c r="L397" s="16">
        <v>52.2</v>
      </c>
      <c r="M397" s="16">
        <v>249.3</v>
      </c>
      <c r="N397" s="167"/>
      <c r="O397" s="153">
        <f t="shared" si="27"/>
        <v>249.3</v>
      </c>
      <c r="S397" s="42"/>
    </row>
    <row r="398" spans="2:19" ht="14.25">
      <c r="B398" s="28">
        <v>4</v>
      </c>
      <c r="C398" s="32" t="s">
        <v>35</v>
      </c>
      <c r="D398" s="28">
        <v>50</v>
      </c>
      <c r="E398" s="28" t="s">
        <v>19</v>
      </c>
      <c r="F398" s="28">
        <v>50</v>
      </c>
      <c r="G398" s="28">
        <v>50</v>
      </c>
      <c r="H398" s="28">
        <f>R60</f>
        <v>48</v>
      </c>
      <c r="I398" s="29">
        <f aca="true" t="shared" si="28" ref="I398:I404">F398*H398/1000</f>
        <v>2.4</v>
      </c>
      <c r="J398" s="189">
        <v>3.06</v>
      </c>
      <c r="K398" s="189">
        <v>9.54</v>
      </c>
      <c r="L398" s="189">
        <v>18.28</v>
      </c>
      <c r="M398" s="189">
        <f>(J398+L398)*4+K398*9</f>
        <v>171.22</v>
      </c>
      <c r="N398" s="190">
        <v>1</v>
      </c>
      <c r="O398" s="153">
        <f t="shared" si="27"/>
        <v>171.22</v>
      </c>
      <c r="S398" s="43"/>
    </row>
    <row r="399" spans="2:19" ht="14.25">
      <c r="B399" s="5">
        <v>5</v>
      </c>
      <c r="C399" s="31" t="s">
        <v>25</v>
      </c>
      <c r="D399" s="5">
        <v>200</v>
      </c>
      <c r="E399" s="5" t="s">
        <v>20</v>
      </c>
      <c r="F399" s="5">
        <v>14</v>
      </c>
      <c r="G399" s="5">
        <v>14</v>
      </c>
      <c r="H399" s="5">
        <f>R32</f>
        <v>140</v>
      </c>
      <c r="I399" s="29">
        <f t="shared" si="28"/>
        <v>1.96</v>
      </c>
      <c r="J399" s="189"/>
      <c r="K399" s="189"/>
      <c r="L399" s="189"/>
      <c r="M399" s="189"/>
      <c r="N399" s="190"/>
      <c r="O399" s="153"/>
      <c r="S399" s="43"/>
    </row>
    <row r="400" spans="2:19" ht="14.25">
      <c r="B400" s="5"/>
      <c r="C400" s="5"/>
      <c r="D400" s="5"/>
      <c r="E400" s="5" t="s">
        <v>2</v>
      </c>
      <c r="F400" s="5">
        <v>13</v>
      </c>
      <c r="G400" s="5">
        <v>13</v>
      </c>
      <c r="H400" s="5">
        <f>R50</f>
        <v>85</v>
      </c>
      <c r="I400" s="29">
        <f t="shared" si="28"/>
        <v>1.11</v>
      </c>
      <c r="J400" s="192">
        <v>0.04</v>
      </c>
      <c r="K400" s="192">
        <v>0</v>
      </c>
      <c r="L400" s="192">
        <v>24.76</v>
      </c>
      <c r="M400" s="189">
        <f>(J400+L400)*4+K400*9</f>
        <v>99.2</v>
      </c>
      <c r="N400" s="190">
        <v>349</v>
      </c>
      <c r="O400" s="153">
        <f>(J400+L400)*4+K400*9</f>
        <v>99.2</v>
      </c>
      <c r="S400" s="43"/>
    </row>
    <row r="401" spans="2:19" ht="14.25">
      <c r="B401" s="5"/>
      <c r="C401" s="31"/>
      <c r="D401" s="5"/>
      <c r="E401" s="5" t="s">
        <v>99</v>
      </c>
      <c r="F401" s="5">
        <v>0.0005</v>
      </c>
      <c r="G401" s="5">
        <v>0.0005</v>
      </c>
      <c r="H401" s="5"/>
      <c r="I401" s="29"/>
      <c r="J401" s="16"/>
      <c r="K401" s="16"/>
      <c r="L401" s="16"/>
      <c r="M401" s="16"/>
      <c r="N401" s="44"/>
      <c r="O401" s="153"/>
      <c r="S401" s="43"/>
    </row>
    <row r="402" spans="2:19" ht="14.25">
      <c r="B402" s="5">
        <v>6</v>
      </c>
      <c r="C402" s="187" t="s">
        <v>229</v>
      </c>
      <c r="D402" s="34">
        <v>70</v>
      </c>
      <c r="E402" s="34" t="s">
        <v>230</v>
      </c>
      <c r="F402" s="5">
        <v>70</v>
      </c>
      <c r="G402" s="5"/>
      <c r="H402" s="5">
        <f>R65</f>
        <v>283</v>
      </c>
      <c r="I402" s="29">
        <f t="shared" si="28"/>
        <v>19.81</v>
      </c>
      <c r="J402" s="16">
        <v>0.28</v>
      </c>
      <c r="K402" s="16">
        <v>0.21</v>
      </c>
      <c r="L402" s="16">
        <v>7.14</v>
      </c>
      <c r="M402" s="16">
        <v>31.57</v>
      </c>
      <c r="N402" s="44">
        <v>368</v>
      </c>
      <c r="O402" s="153">
        <f>(J402+L402)*4+K402*9</f>
        <v>31.57</v>
      </c>
      <c r="S402" s="43"/>
    </row>
    <row r="403" spans="2:15" ht="14.25">
      <c r="B403" s="5"/>
      <c r="C403" s="14"/>
      <c r="D403" s="5"/>
      <c r="E403" s="5" t="s">
        <v>159</v>
      </c>
      <c r="F403" s="5">
        <v>3.5</v>
      </c>
      <c r="G403" s="5">
        <v>3.5</v>
      </c>
      <c r="H403" s="5">
        <f>R54</f>
        <v>27</v>
      </c>
      <c r="I403" s="16">
        <f t="shared" si="28"/>
        <v>0.09</v>
      </c>
      <c r="J403" s="16"/>
      <c r="K403" s="16"/>
      <c r="L403" s="16"/>
      <c r="M403" s="16"/>
      <c r="N403" s="44"/>
      <c r="O403" s="153"/>
    </row>
    <row r="404" spans="2:15" ht="14.25">
      <c r="B404" s="5"/>
      <c r="C404" s="14"/>
      <c r="D404" s="5"/>
      <c r="E404" s="5" t="s">
        <v>93</v>
      </c>
      <c r="F404" s="5">
        <v>0.02</v>
      </c>
      <c r="G404" s="5">
        <v>0.02</v>
      </c>
      <c r="H404" s="5">
        <f>R59</f>
        <v>617</v>
      </c>
      <c r="I404" s="16">
        <f t="shared" si="28"/>
        <v>0.01</v>
      </c>
      <c r="J404" s="16"/>
      <c r="K404" s="16"/>
      <c r="L404" s="16"/>
      <c r="M404" s="16"/>
      <c r="N404" s="44"/>
      <c r="O404" s="153"/>
    </row>
    <row r="405" spans="2:15" ht="15">
      <c r="B405" s="2"/>
      <c r="C405" s="5"/>
      <c r="D405" s="195">
        <f>SUM(D382:D404)</f>
        <v>790</v>
      </c>
      <c r="E405" s="5"/>
      <c r="F405" s="5"/>
      <c r="G405" s="5"/>
      <c r="H405" s="5"/>
      <c r="I405" s="68">
        <f>SUM(I382:I404)</f>
        <v>79.8</v>
      </c>
      <c r="J405" s="68">
        <f>SUM(J382:J404)</f>
        <v>25.72</v>
      </c>
      <c r="K405" s="68">
        <f>SUM(K382:K404)</f>
        <v>35.09</v>
      </c>
      <c r="L405" s="68">
        <f>SUM(L382:L404)</f>
        <v>132.63</v>
      </c>
      <c r="M405" s="68">
        <f>SUM(M382:M404)</f>
        <v>949.21</v>
      </c>
      <c r="N405" s="148"/>
      <c r="O405" s="153">
        <f>(J405+L405)*4+K405*9</f>
        <v>949.21</v>
      </c>
    </row>
    <row r="406" spans="2:15" ht="15">
      <c r="B406" s="27"/>
      <c r="C406" s="74"/>
      <c r="D406" s="27"/>
      <c r="E406" s="27"/>
      <c r="O406" s="153"/>
    </row>
    <row r="407" spans="2:15" s="70" customFormat="1" ht="15">
      <c r="B407" s="227"/>
      <c r="C407" s="74" t="s">
        <v>42</v>
      </c>
      <c r="D407" s="212"/>
      <c r="E407" s="212"/>
      <c r="N407" s="154"/>
      <c r="O407" s="184"/>
    </row>
    <row r="408" spans="2:15" ht="28.5">
      <c r="B408" s="253" t="s">
        <v>3</v>
      </c>
      <c r="C408" s="8"/>
      <c r="D408" s="8" t="s">
        <v>4</v>
      </c>
      <c r="E408" s="253" t="s">
        <v>29</v>
      </c>
      <c r="F408" s="96" t="s">
        <v>12</v>
      </c>
      <c r="G408" s="96" t="s">
        <v>57</v>
      </c>
      <c r="H408" s="96" t="s">
        <v>30</v>
      </c>
      <c r="I408" s="96" t="s">
        <v>31</v>
      </c>
      <c r="J408" s="252" t="s">
        <v>70</v>
      </c>
      <c r="K408" s="252" t="s">
        <v>71</v>
      </c>
      <c r="L408" s="252" t="s">
        <v>72</v>
      </c>
      <c r="M408" s="252" t="s">
        <v>73</v>
      </c>
      <c r="N408" s="250" t="s">
        <v>144</v>
      </c>
      <c r="O408" s="153"/>
    </row>
    <row r="409" spans="2:15" ht="15">
      <c r="B409" s="254"/>
      <c r="C409" s="71" t="s">
        <v>138</v>
      </c>
      <c r="D409" s="8" t="s">
        <v>32</v>
      </c>
      <c r="E409" s="255"/>
      <c r="F409" s="5" t="s">
        <v>32</v>
      </c>
      <c r="G409" s="5" t="s">
        <v>32</v>
      </c>
      <c r="H409" s="5" t="s">
        <v>33</v>
      </c>
      <c r="I409" s="5" t="s">
        <v>34</v>
      </c>
      <c r="J409" s="254"/>
      <c r="K409" s="254"/>
      <c r="L409" s="254"/>
      <c r="M409" s="254"/>
      <c r="N409" s="256"/>
      <c r="O409" s="153"/>
    </row>
    <row r="410" spans="2:15" ht="14.25">
      <c r="B410" s="5">
        <v>1</v>
      </c>
      <c r="C410" s="11" t="s">
        <v>150</v>
      </c>
      <c r="D410" s="12">
        <v>85</v>
      </c>
      <c r="E410" s="12" t="s">
        <v>16</v>
      </c>
      <c r="F410" s="19">
        <v>85</v>
      </c>
      <c r="G410" s="19">
        <v>85</v>
      </c>
      <c r="H410" s="5">
        <f>R6</f>
        <v>622</v>
      </c>
      <c r="I410" s="16">
        <f aca="true" t="shared" si="29" ref="I410:I421">H410*F410/1000</f>
        <v>52.87</v>
      </c>
      <c r="J410" s="16"/>
      <c r="K410" s="16"/>
      <c r="L410" s="16"/>
      <c r="M410" s="16"/>
      <c r="N410" s="44"/>
      <c r="O410" s="153"/>
    </row>
    <row r="411" spans="2:15" ht="14.25">
      <c r="B411" s="2"/>
      <c r="C411" s="11"/>
      <c r="D411" s="13"/>
      <c r="E411" s="12" t="s">
        <v>6</v>
      </c>
      <c r="F411" s="19">
        <v>18</v>
      </c>
      <c r="G411" s="19">
        <v>16</v>
      </c>
      <c r="H411" s="5">
        <f>R23</f>
        <v>49</v>
      </c>
      <c r="I411" s="16">
        <f t="shared" si="29"/>
        <v>0.88</v>
      </c>
      <c r="J411" s="16"/>
      <c r="K411" s="16"/>
      <c r="L411" s="16"/>
      <c r="M411" s="16"/>
      <c r="N411" s="44"/>
      <c r="O411" s="153"/>
    </row>
    <row r="412" spans="2:15" ht="14.25">
      <c r="B412" s="5"/>
      <c r="C412" s="11"/>
      <c r="D412" s="12"/>
      <c r="E412" s="12" t="s">
        <v>28</v>
      </c>
      <c r="F412" s="19">
        <v>6</v>
      </c>
      <c r="G412" s="19">
        <v>6</v>
      </c>
      <c r="H412" s="174">
        <f>R13</f>
        <v>467</v>
      </c>
      <c r="I412" s="16">
        <f t="shared" si="29"/>
        <v>2.8</v>
      </c>
      <c r="J412" s="16"/>
      <c r="K412" s="16"/>
      <c r="L412" s="16"/>
      <c r="M412" s="16"/>
      <c r="N412" s="44"/>
      <c r="O412" s="153"/>
    </row>
    <row r="413" spans="2:15" ht="14.25">
      <c r="B413" s="5"/>
      <c r="C413" s="31"/>
      <c r="D413" s="5"/>
      <c r="E413" s="5" t="s">
        <v>74</v>
      </c>
      <c r="F413" s="5">
        <v>6</v>
      </c>
      <c r="G413" s="5">
        <v>6</v>
      </c>
      <c r="H413" s="174">
        <f>R39</f>
        <v>40</v>
      </c>
      <c r="I413" s="16">
        <f t="shared" si="29"/>
        <v>0.24</v>
      </c>
      <c r="J413" s="16"/>
      <c r="K413" s="16"/>
      <c r="L413" s="16"/>
      <c r="M413" s="16"/>
      <c r="N413" s="44"/>
      <c r="O413" s="153"/>
    </row>
    <row r="414" spans="2:15" ht="14.25">
      <c r="B414" s="5"/>
      <c r="C414" s="31"/>
      <c r="D414" s="5"/>
      <c r="E414" s="8" t="s">
        <v>9</v>
      </c>
      <c r="F414" s="5">
        <v>13</v>
      </c>
      <c r="G414" s="5">
        <v>13</v>
      </c>
      <c r="H414" s="174">
        <f>R14</f>
        <v>199</v>
      </c>
      <c r="I414" s="16">
        <f t="shared" si="29"/>
        <v>2.59</v>
      </c>
      <c r="J414" s="191">
        <v>23.89</v>
      </c>
      <c r="K414" s="191">
        <v>26.91</v>
      </c>
      <c r="L414" s="191">
        <v>6.3</v>
      </c>
      <c r="M414" s="189">
        <v>362.95</v>
      </c>
      <c r="N414" s="190">
        <v>278</v>
      </c>
      <c r="O414" s="153">
        <f>(J414+L414)*4+K414*9</f>
        <v>362.95</v>
      </c>
    </row>
    <row r="415" spans="2:15" ht="14.25">
      <c r="B415" s="5">
        <v>2</v>
      </c>
      <c r="C415" s="175" t="s">
        <v>172</v>
      </c>
      <c r="D415" s="165">
        <v>150</v>
      </c>
      <c r="E415" s="12" t="s">
        <v>173</v>
      </c>
      <c r="F415" s="12">
        <v>36</v>
      </c>
      <c r="G415" s="182">
        <v>36</v>
      </c>
      <c r="H415" s="5">
        <f>R44</f>
        <v>58</v>
      </c>
      <c r="I415" s="16">
        <f t="shared" si="29"/>
        <v>2.09</v>
      </c>
      <c r="J415" s="16"/>
      <c r="K415" s="16"/>
      <c r="L415" s="16"/>
      <c r="M415" s="16"/>
      <c r="N415" s="44"/>
      <c r="O415" s="153"/>
    </row>
    <row r="416" spans="2:15" ht="14.25">
      <c r="B416" s="5"/>
      <c r="C416" s="175"/>
      <c r="D416" s="165"/>
      <c r="E416" s="12" t="s">
        <v>28</v>
      </c>
      <c r="F416" s="12">
        <v>6</v>
      </c>
      <c r="G416" s="182">
        <v>6</v>
      </c>
      <c r="H416" s="5">
        <f>R13</f>
        <v>467</v>
      </c>
      <c r="I416" s="16">
        <f t="shared" si="29"/>
        <v>2.8</v>
      </c>
      <c r="J416" s="166">
        <v>3.94</v>
      </c>
      <c r="K416" s="166">
        <v>1.66</v>
      </c>
      <c r="L416" s="166">
        <v>25.05</v>
      </c>
      <c r="M416" s="166">
        <v>130.9</v>
      </c>
      <c r="N416" s="167">
        <v>744</v>
      </c>
      <c r="O416" s="153">
        <f>(J416+L416)*4+K416*9</f>
        <v>130.9</v>
      </c>
    </row>
    <row r="417" spans="2:15" ht="14.25">
      <c r="B417" s="5">
        <v>3</v>
      </c>
      <c r="C417" s="31" t="s">
        <v>154</v>
      </c>
      <c r="D417" s="15">
        <v>30</v>
      </c>
      <c r="E417" s="5" t="s">
        <v>158</v>
      </c>
      <c r="F417" s="5">
        <v>41</v>
      </c>
      <c r="G417" s="5">
        <v>36</v>
      </c>
      <c r="H417" s="5">
        <f>R28</f>
        <v>123</v>
      </c>
      <c r="I417" s="16">
        <f t="shared" si="29"/>
        <v>5.04</v>
      </c>
      <c r="J417" s="191"/>
      <c r="K417" s="191"/>
      <c r="L417" s="191"/>
      <c r="M417" s="189"/>
      <c r="N417" s="190"/>
      <c r="O417" s="153"/>
    </row>
    <row r="418" spans="2:15" ht="14.25">
      <c r="B418" s="5"/>
      <c r="C418" s="31"/>
      <c r="D418" s="15"/>
      <c r="E418" s="5" t="s">
        <v>6</v>
      </c>
      <c r="F418" s="5">
        <v>3</v>
      </c>
      <c r="G418" s="5">
        <v>2</v>
      </c>
      <c r="H418" s="5">
        <f>R23</f>
        <v>49</v>
      </c>
      <c r="I418" s="16">
        <f t="shared" si="29"/>
        <v>0.15</v>
      </c>
      <c r="J418" s="191"/>
      <c r="K418" s="191"/>
      <c r="L418" s="191"/>
      <c r="M418" s="189"/>
      <c r="N418" s="190"/>
      <c r="O418" s="153"/>
    </row>
    <row r="419" spans="2:15" ht="14.25">
      <c r="B419" s="5"/>
      <c r="C419" s="31"/>
      <c r="D419" s="15"/>
      <c r="E419" s="5" t="s">
        <v>26</v>
      </c>
      <c r="F419" s="5">
        <v>2</v>
      </c>
      <c r="G419" s="5">
        <v>2</v>
      </c>
      <c r="H419" s="5">
        <f>R36</f>
        <v>145</v>
      </c>
      <c r="I419" s="16">
        <f t="shared" si="29"/>
        <v>0.29</v>
      </c>
      <c r="J419" s="189">
        <v>0.93</v>
      </c>
      <c r="K419" s="189">
        <v>1.62</v>
      </c>
      <c r="L419" s="189">
        <v>2</v>
      </c>
      <c r="M419" s="189">
        <f>(J419+L419)*4+K419*9</f>
        <v>26.3</v>
      </c>
      <c r="N419" s="190">
        <v>10</v>
      </c>
      <c r="O419" s="153">
        <f>(J419+L419)*4+K419*9</f>
        <v>26.3</v>
      </c>
    </row>
    <row r="420" spans="2:15" ht="14.25">
      <c r="B420" s="5">
        <v>4</v>
      </c>
      <c r="C420" s="3" t="s">
        <v>35</v>
      </c>
      <c r="D420" s="5">
        <v>50</v>
      </c>
      <c r="E420" s="8" t="s">
        <v>136</v>
      </c>
      <c r="F420" s="5">
        <v>50</v>
      </c>
      <c r="G420" s="5">
        <v>50</v>
      </c>
      <c r="H420" s="5">
        <f>R60</f>
        <v>48</v>
      </c>
      <c r="I420" s="16">
        <f t="shared" si="29"/>
        <v>2.4</v>
      </c>
      <c r="J420" s="189">
        <v>3.06</v>
      </c>
      <c r="K420" s="189">
        <v>9.54</v>
      </c>
      <c r="L420" s="189">
        <v>18.28</v>
      </c>
      <c r="M420" s="189">
        <f>(J420+L420)*4+K420*9</f>
        <v>171.22</v>
      </c>
      <c r="N420" s="190">
        <v>1</v>
      </c>
      <c r="O420" s="153">
        <f>(J420+L420)*4+K420*9</f>
        <v>171.22</v>
      </c>
    </row>
    <row r="421" spans="2:15" ht="14.25">
      <c r="B421" s="5">
        <v>5</v>
      </c>
      <c r="C421" s="3" t="s">
        <v>13</v>
      </c>
      <c r="D421" s="5">
        <v>200</v>
      </c>
      <c r="E421" s="5" t="s">
        <v>51</v>
      </c>
      <c r="F421" s="5">
        <v>1</v>
      </c>
      <c r="G421" s="5">
        <v>1</v>
      </c>
      <c r="H421" s="5">
        <f>R58</f>
        <v>507</v>
      </c>
      <c r="I421" s="16">
        <f t="shared" si="29"/>
        <v>0.51</v>
      </c>
      <c r="J421" s="16"/>
      <c r="K421" s="16"/>
      <c r="L421" s="16"/>
      <c r="M421" s="16"/>
      <c r="N421" s="44"/>
      <c r="O421" s="153"/>
    </row>
    <row r="422" spans="2:15" ht="14.25">
      <c r="B422" s="5"/>
      <c r="C422" s="3"/>
      <c r="D422" s="5"/>
      <c r="E422" s="5" t="s">
        <v>2</v>
      </c>
      <c r="F422" s="5">
        <v>11</v>
      </c>
      <c r="G422" s="5">
        <v>11</v>
      </c>
      <c r="H422" s="5">
        <f>R50</f>
        <v>85</v>
      </c>
      <c r="I422" s="16">
        <f>F422*H422/1000</f>
        <v>0.94</v>
      </c>
      <c r="J422" s="76">
        <v>0.2</v>
      </c>
      <c r="K422" s="76">
        <v>0</v>
      </c>
      <c r="L422" s="76">
        <v>14</v>
      </c>
      <c r="M422" s="76">
        <v>56.8</v>
      </c>
      <c r="N422" s="44">
        <v>376</v>
      </c>
      <c r="O422" s="153">
        <f>(J422+L422)*4+K422*9</f>
        <v>56.8</v>
      </c>
    </row>
    <row r="423" spans="2:15" ht="14.25">
      <c r="B423" s="5">
        <v>6</v>
      </c>
      <c r="C423" s="185" t="s">
        <v>201</v>
      </c>
      <c r="D423" s="5">
        <v>40</v>
      </c>
      <c r="E423" s="5" t="s">
        <v>202</v>
      </c>
      <c r="F423" s="34">
        <v>40</v>
      </c>
      <c r="G423" s="34">
        <v>40</v>
      </c>
      <c r="H423" s="5">
        <f>R64</f>
        <v>153</v>
      </c>
      <c r="I423" s="16">
        <f>F423*H423/1000</f>
        <v>6.12</v>
      </c>
      <c r="J423" s="76">
        <v>2.36</v>
      </c>
      <c r="K423" s="76">
        <v>1.88</v>
      </c>
      <c r="L423" s="76">
        <v>30</v>
      </c>
      <c r="M423" s="76">
        <v>146.36</v>
      </c>
      <c r="N423" s="190"/>
      <c r="O423" s="153">
        <f>(J423+L423)*4+K423*9</f>
        <v>146.36</v>
      </c>
    </row>
    <row r="424" spans="2:15" ht="14.25">
      <c r="B424" s="5"/>
      <c r="C424" s="2"/>
      <c r="D424" s="96"/>
      <c r="E424" s="5" t="s">
        <v>159</v>
      </c>
      <c r="F424" s="5">
        <v>3</v>
      </c>
      <c r="G424" s="5">
        <v>3</v>
      </c>
      <c r="H424" s="5">
        <f>R54</f>
        <v>27</v>
      </c>
      <c r="I424" s="16">
        <f>F424*H424/1000</f>
        <v>0.08</v>
      </c>
      <c r="J424" s="76"/>
      <c r="K424" s="76"/>
      <c r="L424" s="76"/>
      <c r="M424" s="76"/>
      <c r="N424" s="44"/>
      <c r="O424" s="153"/>
    </row>
    <row r="425" spans="2:15" ht="15">
      <c r="B425" s="5"/>
      <c r="C425" s="14"/>
      <c r="D425" s="195">
        <f>SUM(D410:D424)</f>
        <v>555</v>
      </c>
      <c r="E425" s="5"/>
      <c r="F425" s="5"/>
      <c r="G425" s="5"/>
      <c r="H425" s="5"/>
      <c r="I425" s="68">
        <f>SUM(I410:I424)</f>
        <v>79.8</v>
      </c>
      <c r="J425" s="68">
        <f>SUM(J410:J424)</f>
        <v>34.38</v>
      </c>
      <c r="K425" s="68">
        <f>SUM(K410:K424)</f>
        <v>41.61</v>
      </c>
      <c r="L425" s="68">
        <f>SUM(L410:L424)</f>
        <v>95.63</v>
      </c>
      <c r="M425" s="68">
        <f>SUM(M410:M424)</f>
        <v>894.53</v>
      </c>
      <c r="N425" s="148"/>
      <c r="O425" s="153">
        <f>(J425+L425)*4+K425*9</f>
        <v>894.53</v>
      </c>
    </row>
    <row r="426" spans="2:15" ht="15">
      <c r="B426" s="5"/>
      <c r="C426" s="72" t="s">
        <v>139</v>
      </c>
      <c r="D426" s="8"/>
      <c r="E426" s="8"/>
      <c r="F426" s="5"/>
      <c r="G426" s="5"/>
      <c r="H426" s="5"/>
      <c r="I426" s="16"/>
      <c r="J426" s="16"/>
      <c r="K426" s="16"/>
      <c r="L426" s="16"/>
      <c r="M426" s="16"/>
      <c r="N426" s="44"/>
      <c r="O426" s="153"/>
    </row>
    <row r="427" spans="2:15" ht="14.25">
      <c r="B427" s="5">
        <v>1</v>
      </c>
      <c r="C427" s="32" t="s">
        <v>94</v>
      </c>
      <c r="D427" s="97" t="s">
        <v>176</v>
      </c>
      <c r="E427" s="28" t="s">
        <v>15</v>
      </c>
      <c r="F427" s="5">
        <v>45</v>
      </c>
      <c r="G427" s="5">
        <v>36</v>
      </c>
      <c r="H427" s="5">
        <f>R25</f>
        <v>51</v>
      </c>
      <c r="I427" s="16">
        <f aca="true" t="shared" si="30" ref="I427:I442">F427*H427/1000</f>
        <v>2.3</v>
      </c>
      <c r="J427" s="16"/>
      <c r="K427" s="16"/>
      <c r="L427" s="16"/>
      <c r="M427" s="16"/>
      <c r="N427" s="44"/>
      <c r="O427" s="153"/>
    </row>
    <row r="428" spans="2:15" ht="14.25">
      <c r="B428" s="5"/>
      <c r="C428" s="32" t="s">
        <v>95</v>
      </c>
      <c r="D428" s="28"/>
      <c r="E428" s="28" t="s">
        <v>17</v>
      </c>
      <c r="F428" s="5">
        <v>23</v>
      </c>
      <c r="G428" s="5">
        <v>17</v>
      </c>
      <c r="H428" s="5">
        <f>R22</f>
        <v>57</v>
      </c>
      <c r="I428" s="16">
        <f t="shared" si="30"/>
        <v>1.31</v>
      </c>
      <c r="J428" s="16"/>
      <c r="K428" s="16"/>
      <c r="L428" s="16"/>
      <c r="M428" s="16"/>
      <c r="N428" s="44"/>
      <c r="O428" s="153"/>
    </row>
    <row r="429" spans="2:15" ht="14.25">
      <c r="B429" s="5"/>
      <c r="C429" s="25"/>
      <c r="D429" s="28"/>
      <c r="E429" s="28" t="s">
        <v>7</v>
      </c>
      <c r="F429" s="5">
        <v>31</v>
      </c>
      <c r="G429" s="5">
        <v>19</v>
      </c>
      <c r="H429" s="5">
        <f>R21</f>
        <v>54</v>
      </c>
      <c r="I429" s="16">
        <f t="shared" si="30"/>
        <v>1.67</v>
      </c>
      <c r="J429" s="16"/>
      <c r="K429" s="16"/>
      <c r="L429" s="16"/>
      <c r="M429" s="16"/>
      <c r="N429" s="44"/>
      <c r="O429" s="153"/>
    </row>
    <row r="430" spans="2:15" ht="14.25">
      <c r="B430" s="5"/>
      <c r="C430" s="25"/>
      <c r="D430" s="28"/>
      <c r="E430" s="28" t="s">
        <v>8</v>
      </c>
      <c r="F430" s="5">
        <v>10</v>
      </c>
      <c r="G430" s="5">
        <v>8</v>
      </c>
      <c r="H430" s="5">
        <f>R24</f>
        <v>60</v>
      </c>
      <c r="I430" s="16">
        <f t="shared" si="30"/>
        <v>0.6</v>
      </c>
      <c r="J430" s="16"/>
      <c r="K430" s="16"/>
      <c r="L430" s="16"/>
      <c r="M430" s="16"/>
      <c r="N430" s="44"/>
      <c r="O430" s="153"/>
    </row>
    <row r="431" spans="2:15" ht="14.25">
      <c r="B431" s="5"/>
      <c r="C431" s="25"/>
      <c r="D431" s="28"/>
      <c r="E431" s="28" t="s">
        <v>6</v>
      </c>
      <c r="F431" s="5">
        <v>10</v>
      </c>
      <c r="G431" s="5">
        <v>8</v>
      </c>
      <c r="H431" s="5">
        <f>R23</f>
        <v>49</v>
      </c>
      <c r="I431" s="16">
        <f t="shared" si="30"/>
        <v>0.49</v>
      </c>
      <c r="J431" s="16"/>
      <c r="K431" s="16"/>
      <c r="L431" s="16"/>
      <c r="M431" s="16"/>
      <c r="N431" s="44"/>
      <c r="O431" s="153"/>
    </row>
    <row r="432" spans="2:15" ht="14.25">
      <c r="B432" s="5"/>
      <c r="C432" s="25"/>
      <c r="D432" s="28"/>
      <c r="E432" s="28" t="s">
        <v>27</v>
      </c>
      <c r="F432" s="5">
        <v>2</v>
      </c>
      <c r="G432" s="5">
        <v>2</v>
      </c>
      <c r="H432" s="5">
        <f>R29</f>
        <v>142</v>
      </c>
      <c r="I432" s="16">
        <f t="shared" si="30"/>
        <v>0.28</v>
      </c>
      <c r="J432" s="16"/>
      <c r="K432" s="16"/>
      <c r="L432" s="16"/>
      <c r="M432" s="16"/>
      <c r="N432" s="44"/>
      <c r="O432" s="184"/>
    </row>
    <row r="433" spans="2:15" ht="14.25">
      <c r="B433" s="5"/>
      <c r="C433" s="25"/>
      <c r="D433" s="28"/>
      <c r="E433" s="28" t="s">
        <v>26</v>
      </c>
      <c r="F433" s="5">
        <v>4</v>
      </c>
      <c r="G433" s="5">
        <v>4</v>
      </c>
      <c r="H433" s="141">
        <f>R36</f>
        <v>145</v>
      </c>
      <c r="I433" s="16">
        <f>F433*H433/1000</f>
        <v>0.58</v>
      </c>
      <c r="J433" s="166">
        <v>2.26</v>
      </c>
      <c r="K433" s="166">
        <v>4.18</v>
      </c>
      <c r="L433" s="166">
        <v>10.2</v>
      </c>
      <c r="M433" s="166">
        <v>87.46</v>
      </c>
      <c r="N433" s="167">
        <v>176</v>
      </c>
      <c r="O433" s="184">
        <f>(J433+L433)*4+K433*9</f>
        <v>87.46</v>
      </c>
    </row>
    <row r="434" spans="2:15" ht="14.25">
      <c r="B434" s="5"/>
      <c r="C434" s="25"/>
      <c r="D434" s="28"/>
      <c r="E434" s="28" t="s">
        <v>9</v>
      </c>
      <c r="F434" s="5">
        <v>10</v>
      </c>
      <c r="G434" s="5">
        <v>10</v>
      </c>
      <c r="H434" s="141">
        <f>R14</f>
        <v>199</v>
      </c>
      <c r="I434" s="16">
        <f>F434*H434/1000</f>
        <v>1.99</v>
      </c>
      <c r="J434" s="166">
        <v>0.21</v>
      </c>
      <c r="K434" s="166">
        <v>2.82</v>
      </c>
      <c r="L434" s="166">
        <v>0.31</v>
      </c>
      <c r="M434" s="166">
        <v>27.46</v>
      </c>
      <c r="N434" s="167"/>
      <c r="O434" s="184">
        <f>(J434+L434)*4+K434*9</f>
        <v>27.46</v>
      </c>
    </row>
    <row r="435" spans="2:15" ht="14.25">
      <c r="B435" s="5">
        <v>2</v>
      </c>
      <c r="C435" s="11" t="s">
        <v>150</v>
      </c>
      <c r="D435" s="12">
        <v>80</v>
      </c>
      <c r="E435" s="12" t="s">
        <v>16</v>
      </c>
      <c r="F435" s="19">
        <v>79</v>
      </c>
      <c r="G435" s="19">
        <v>79</v>
      </c>
      <c r="H435" s="141">
        <f>R6</f>
        <v>622</v>
      </c>
      <c r="I435" s="16">
        <f>F435*H435/1000</f>
        <v>49.14</v>
      </c>
      <c r="J435" s="16"/>
      <c r="K435" s="16"/>
      <c r="L435" s="16"/>
      <c r="M435" s="16"/>
      <c r="N435" s="44"/>
      <c r="O435" s="184"/>
    </row>
    <row r="436" spans="2:15" ht="14.25">
      <c r="B436" s="2"/>
      <c r="C436" s="11"/>
      <c r="D436" s="13"/>
      <c r="E436" s="12" t="s">
        <v>6</v>
      </c>
      <c r="F436" s="19">
        <v>17</v>
      </c>
      <c r="G436" s="19">
        <v>16</v>
      </c>
      <c r="H436" s="5">
        <f>R23</f>
        <v>49</v>
      </c>
      <c r="I436" s="16">
        <f t="shared" si="30"/>
        <v>0.83</v>
      </c>
      <c r="J436" s="16"/>
      <c r="K436" s="16"/>
      <c r="L436" s="16"/>
      <c r="M436" s="16"/>
      <c r="N436" s="44"/>
      <c r="O436" s="153"/>
    </row>
    <row r="437" spans="2:15" ht="14.25">
      <c r="B437" s="5"/>
      <c r="C437" s="11"/>
      <c r="D437" s="12"/>
      <c r="E437" s="12" t="s">
        <v>28</v>
      </c>
      <c r="F437" s="19">
        <v>5</v>
      </c>
      <c r="G437" s="19">
        <v>5</v>
      </c>
      <c r="H437" s="5">
        <f>R13</f>
        <v>467</v>
      </c>
      <c r="I437" s="16">
        <f t="shared" si="30"/>
        <v>2.34</v>
      </c>
      <c r="J437" s="16"/>
      <c r="K437" s="16"/>
      <c r="L437" s="16"/>
      <c r="M437" s="16"/>
      <c r="N437" s="44"/>
      <c r="O437" s="153"/>
    </row>
    <row r="438" spans="2:15" ht="14.25">
      <c r="B438" s="5"/>
      <c r="C438" s="31"/>
      <c r="D438" s="5"/>
      <c r="E438" s="5" t="s">
        <v>74</v>
      </c>
      <c r="F438" s="5">
        <v>5</v>
      </c>
      <c r="G438" s="5">
        <v>5</v>
      </c>
      <c r="H438" s="5">
        <f>R39</f>
        <v>40</v>
      </c>
      <c r="I438" s="16">
        <f t="shared" si="30"/>
        <v>0.2</v>
      </c>
      <c r="J438" s="16"/>
      <c r="K438" s="16"/>
      <c r="L438" s="16"/>
      <c r="M438" s="16"/>
      <c r="N438" s="44"/>
      <c r="O438" s="153"/>
    </row>
    <row r="439" spans="2:15" ht="14.25">
      <c r="B439" s="5"/>
      <c r="C439" s="31"/>
      <c r="D439" s="5"/>
      <c r="E439" s="8" t="s">
        <v>9</v>
      </c>
      <c r="F439" s="5">
        <v>13</v>
      </c>
      <c r="G439" s="5">
        <v>13</v>
      </c>
      <c r="H439" s="174">
        <f>R14</f>
        <v>199</v>
      </c>
      <c r="I439" s="16">
        <f>F439*H439/1000</f>
        <v>2.59</v>
      </c>
      <c r="J439" s="191">
        <v>22.49</v>
      </c>
      <c r="K439" s="191">
        <v>25.32</v>
      </c>
      <c r="L439" s="191">
        <v>5.93</v>
      </c>
      <c r="M439" s="189">
        <v>341.56</v>
      </c>
      <c r="N439" s="190">
        <v>278</v>
      </c>
      <c r="O439" s="153">
        <f>(J439+L439)*4+K439*9</f>
        <v>341.56</v>
      </c>
    </row>
    <row r="440" spans="2:15" ht="14.25">
      <c r="B440" s="5">
        <v>3</v>
      </c>
      <c r="C440" s="175" t="s">
        <v>172</v>
      </c>
      <c r="D440" s="165">
        <v>150</v>
      </c>
      <c r="E440" s="12" t="s">
        <v>173</v>
      </c>
      <c r="F440" s="12">
        <v>36</v>
      </c>
      <c r="G440" s="182">
        <v>36</v>
      </c>
      <c r="H440" s="5">
        <f>R44</f>
        <v>58</v>
      </c>
      <c r="I440" s="16">
        <f t="shared" si="30"/>
        <v>2.09</v>
      </c>
      <c r="J440" s="16"/>
      <c r="K440" s="16"/>
      <c r="L440" s="16"/>
      <c r="M440" s="16"/>
      <c r="N440" s="44"/>
      <c r="O440" s="153"/>
    </row>
    <row r="441" spans="2:15" ht="14.25">
      <c r="B441" s="5"/>
      <c r="C441" s="31"/>
      <c r="D441" s="5"/>
      <c r="E441" s="5" t="s">
        <v>28</v>
      </c>
      <c r="F441" s="5">
        <v>5</v>
      </c>
      <c r="G441" s="5">
        <v>5</v>
      </c>
      <c r="H441" s="5">
        <f>R13</f>
        <v>467</v>
      </c>
      <c r="I441" s="16">
        <f t="shared" si="30"/>
        <v>2.34</v>
      </c>
      <c r="J441" s="166">
        <v>3.94</v>
      </c>
      <c r="K441" s="166">
        <v>1.66</v>
      </c>
      <c r="L441" s="166">
        <v>25.05</v>
      </c>
      <c r="M441" s="166">
        <v>130.9</v>
      </c>
      <c r="N441" s="167">
        <v>744</v>
      </c>
      <c r="O441" s="153">
        <f>(J441+L441)*4+K441*9</f>
        <v>130.9</v>
      </c>
    </row>
    <row r="442" spans="2:15" s="70" customFormat="1" ht="14.25">
      <c r="B442" s="34">
        <v>4</v>
      </c>
      <c r="C442" s="202" t="s">
        <v>35</v>
      </c>
      <c r="D442" s="135">
        <v>45</v>
      </c>
      <c r="E442" s="34" t="s">
        <v>19</v>
      </c>
      <c r="F442" s="34">
        <v>45</v>
      </c>
      <c r="G442" s="34">
        <v>45</v>
      </c>
      <c r="H442" s="34">
        <f>R60</f>
        <v>48</v>
      </c>
      <c r="I442" s="76">
        <f t="shared" si="30"/>
        <v>2.16</v>
      </c>
      <c r="J442" s="237">
        <v>2.75</v>
      </c>
      <c r="K442" s="237">
        <v>8.59</v>
      </c>
      <c r="L442" s="237">
        <v>16.45</v>
      </c>
      <c r="M442" s="237">
        <v>154.11</v>
      </c>
      <c r="N442" s="190"/>
      <c r="O442" s="184">
        <f aca="true" t="shared" si="31" ref="O442:O449">(J442+L442)*4+K442*9</f>
        <v>154.11</v>
      </c>
    </row>
    <row r="443" spans="2:15" ht="14.25">
      <c r="B443" s="5">
        <v>5</v>
      </c>
      <c r="C443" s="31" t="s">
        <v>25</v>
      </c>
      <c r="D443" s="5">
        <v>200</v>
      </c>
      <c r="E443" s="5" t="s">
        <v>20</v>
      </c>
      <c r="F443" s="5">
        <v>13</v>
      </c>
      <c r="G443" s="5">
        <v>13</v>
      </c>
      <c r="H443" s="5">
        <f>R32</f>
        <v>140</v>
      </c>
      <c r="I443" s="16">
        <f aca="true" t="shared" si="32" ref="I443:I448">H443*F443/1000</f>
        <v>1.82</v>
      </c>
      <c r="J443" s="16">
        <v>2.02</v>
      </c>
      <c r="K443" s="16">
        <v>0.2</v>
      </c>
      <c r="L443" s="16">
        <v>22.4</v>
      </c>
      <c r="M443" s="16">
        <v>99.48</v>
      </c>
      <c r="N443" s="44"/>
      <c r="O443" s="153">
        <f t="shared" si="31"/>
        <v>99.48</v>
      </c>
    </row>
    <row r="444" spans="2:15" ht="14.25">
      <c r="B444" s="5"/>
      <c r="C444" s="5"/>
      <c r="D444" s="5"/>
      <c r="E444" s="5" t="s">
        <v>2</v>
      </c>
      <c r="F444" s="5">
        <v>10</v>
      </c>
      <c r="G444" s="5">
        <v>10</v>
      </c>
      <c r="H444" s="5">
        <f>R50</f>
        <v>85</v>
      </c>
      <c r="I444" s="16">
        <f t="shared" si="32"/>
        <v>0.85</v>
      </c>
      <c r="J444" s="192">
        <v>0.04</v>
      </c>
      <c r="K444" s="192">
        <v>0</v>
      </c>
      <c r="L444" s="192">
        <v>24.76</v>
      </c>
      <c r="M444" s="189">
        <f>(J444+L444)*4+K444*9</f>
        <v>99.2</v>
      </c>
      <c r="N444" s="190">
        <v>349</v>
      </c>
      <c r="O444" s="153">
        <f t="shared" si="31"/>
        <v>99.2</v>
      </c>
    </row>
    <row r="445" spans="2:15" ht="14.25">
      <c r="B445" s="5"/>
      <c r="C445" s="14"/>
      <c r="D445" s="5"/>
      <c r="E445" s="5" t="s">
        <v>99</v>
      </c>
      <c r="F445" s="34">
        <v>0.0005</v>
      </c>
      <c r="G445" s="34">
        <v>0.0005</v>
      </c>
      <c r="H445" s="34"/>
      <c r="I445" s="16"/>
      <c r="J445" s="16"/>
      <c r="K445" s="16"/>
      <c r="L445" s="16"/>
      <c r="M445" s="16"/>
      <c r="N445" s="44"/>
      <c r="O445" s="153"/>
    </row>
    <row r="446" spans="2:15" ht="14.25">
      <c r="B446" s="5">
        <v>6</v>
      </c>
      <c r="C446" s="185" t="s">
        <v>201</v>
      </c>
      <c r="D446" s="5">
        <v>40</v>
      </c>
      <c r="E446" s="5" t="s">
        <v>202</v>
      </c>
      <c r="F446" s="34">
        <v>40</v>
      </c>
      <c r="G446" s="34">
        <v>40</v>
      </c>
      <c r="H446" s="34">
        <f>R64</f>
        <v>153</v>
      </c>
      <c r="I446" s="16">
        <f t="shared" si="32"/>
        <v>6.12</v>
      </c>
      <c r="J446" s="76">
        <v>2.36</v>
      </c>
      <c r="K446" s="76">
        <v>1.88</v>
      </c>
      <c r="L446" s="76">
        <v>30</v>
      </c>
      <c r="M446" s="76">
        <v>146.36</v>
      </c>
      <c r="N446" s="190"/>
      <c r="O446" s="153">
        <f t="shared" si="31"/>
        <v>146.36</v>
      </c>
    </row>
    <row r="447" spans="2:15" ht="15">
      <c r="B447" s="5"/>
      <c r="C447" s="14"/>
      <c r="D447" s="14"/>
      <c r="E447" s="8" t="s">
        <v>159</v>
      </c>
      <c r="F447" s="8">
        <v>3.5</v>
      </c>
      <c r="G447" s="8">
        <v>3.5</v>
      </c>
      <c r="H447" s="34">
        <f>R54</f>
        <v>27</v>
      </c>
      <c r="I447" s="16">
        <f t="shared" si="32"/>
        <v>0.09</v>
      </c>
      <c r="J447" s="148"/>
      <c r="K447" s="148"/>
      <c r="L447" s="148"/>
      <c r="M447" s="148"/>
      <c r="N447" s="148"/>
      <c r="O447" s="153"/>
    </row>
    <row r="448" spans="2:15" ht="15">
      <c r="B448" s="2"/>
      <c r="C448" s="14"/>
      <c r="D448" s="14"/>
      <c r="E448" s="8" t="s">
        <v>93</v>
      </c>
      <c r="F448" s="8">
        <v>0.02</v>
      </c>
      <c r="G448" s="8">
        <v>0.02</v>
      </c>
      <c r="H448" s="5">
        <f>R59</f>
        <v>617</v>
      </c>
      <c r="I448" s="16">
        <f t="shared" si="32"/>
        <v>0.01</v>
      </c>
      <c r="J448" s="148"/>
      <c r="K448" s="148"/>
      <c r="L448" s="148"/>
      <c r="M448" s="148"/>
      <c r="N448" s="44"/>
      <c r="O448" s="153"/>
    </row>
    <row r="449" spans="2:15" ht="15">
      <c r="B449" s="2"/>
      <c r="C449" s="3"/>
      <c r="D449" s="195">
        <v>725</v>
      </c>
      <c r="E449" s="5"/>
      <c r="F449" s="5"/>
      <c r="G449" s="5"/>
      <c r="H449" s="5"/>
      <c r="I449" s="68">
        <f>SUM(I427:I448)</f>
        <v>79.8</v>
      </c>
      <c r="J449" s="68">
        <f>SUM(J427:J448)</f>
        <v>36.07</v>
      </c>
      <c r="K449" s="68">
        <f>SUM(K427:K448)</f>
        <v>44.65</v>
      </c>
      <c r="L449" s="68">
        <f>SUM(L427:L448)</f>
        <v>135.1</v>
      </c>
      <c r="M449" s="68">
        <f>SUM(M427:M448)</f>
        <v>1086.53</v>
      </c>
      <c r="N449" s="44"/>
      <c r="O449" s="153">
        <f t="shared" si="31"/>
        <v>1086.53</v>
      </c>
    </row>
    <row r="450" spans="2:14" ht="15">
      <c r="B450" s="7"/>
      <c r="C450" s="4"/>
      <c r="D450" s="21"/>
      <c r="E450" s="21"/>
      <c r="F450" s="21"/>
      <c r="G450" s="21"/>
      <c r="H450" s="21"/>
      <c r="I450" s="91"/>
      <c r="J450" s="91"/>
      <c r="K450" s="91"/>
      <c r="L450" s="91"/>
      <c r="M450" s="91"/>
      <c r="N450" s="155"/>
    </row>
    <row r="451" spans="2:14" ht="15">
      <c r="B451" s="7"/>
      <c r="C451" s="4"/>
      <c r="D451" s="21"/>
      <c r="E451" s="21"/>
      <c r="F451" s="21"/>
      <c r="G451" s="21"/>
      <c r="H451" s="21"/>
      <c r="I451" s="91"/>
      <c r="J451" s="91"/>
      <c r="K451" s="91"/>
      <c r="L451" s="91"/>
      <c r="M451" s="91"/>
      <c r="N451" s="155"/>
    </row>
    <row r="452" spans="2:14" ht="14.25" customHeight="1">
      <c r="B452" s="7"/>
      <c r="C452" s="4"/>
      <c r="D452" s="21"/>
      <c r="E452" s="21"/>
      <c r="F452" s="21"/>
      <c r="G452" s="21"/>
      <c r="H452" s="21"/>
      <c r="I452" s="91"/>
      <c r="J452" s="91"/>
      <c r="K452" s="91"/>
      <c r="L452" s="91"/>
      <c r="M452" s="91"/>
      <c r="N452" s="155"/>
    </row>
    <row r="453" spans="3:13" ht="14.25">
      <c r="C453" s="249" t="s">
        <v>65</v>
      </c>
      <c r="D453" s="249"/>
      <c r="E453" s="249"/>
      <c r="F453" s="249"/>
      <c r="G453" s="249"/>
      <c r="I453" s="37"/>
      <c r="J453" s="37"/>
      <c r="K453" s="37"/>
      <c r="L453" s="37"/>
      <c r="M453" s="37"/>
    </row>
    <row r="454" spans="3:7" ht="14.25">
      <c r="C454" s="249" t="s">
        <v>160</v>
      </c>
      <c r="D454" s="249"/>
      <c r="E454" s="249"/>
      <c r="F454" s="249"/>
      <c r="G454" s="249"/>
    </row>
    <row r="455" spans="9:13" ht="14.25">
      <c r="I455" s="37"/>
      <c r="J455" s="37"/>
      <c r="K455" s="37"/>
      <c r="L455" s="37"/>
      <c r="M455" s="37"/>
    </row>
    <row r="456" ht="14.25">
      <c r="C456" s="21"/>
    </row>
    <row r="470" ht="14.25" customHeight="1"/>
    <row r="471" ht="14.25" customHeight="1"/>
    <row r="472" ht="14.25" customHeight="1"/>
  </sheetData>
  <sheetProtection/>
  <mergeCells count="73">
    <mergeCell ref="D2:H2"/>
    <mergeCell ref="N408:N409"/>
    <mergeCell ref="J408:J409"/>
    <mergeCell ref="K408:K409"/>
    <mergeCell ref="L408:L409"/>
    <mergeCell ref="M408:M409"/>
    <mergeCell ref="E408:E409"/>
    <mergeCell ref="E365:E366"/>
    <mergeCell ref="J365:J366"/>
    <mergeCell ref="K365:K366"/>
    <mergeCell ref="L365:L366"/>
    <mergeCell ref="M365:M366"/>
    <mergeCell ref="E189:E190"/>
    <mergeCell ref="N285:N286"/>
    <mergeCell ref="J325:J326"/>
    <mergeCell ref="K325:K326"/>
    <mergeCell ref="L325:L326"/>
    <mergeCell ref="M325:M326"/>
    <mergeCell ref="N325:N326"/>
    <mergeCell ref="N365:N366"/>
    <mergeCell ref="L285:L286"/>
    <mergeCell ref="M285:M286"/>
    <mergeCell ref="B325:B326"/>
    <mergeCell ref="E325:E326"/>
    <mergeCell ref="B285:B286"/>
    <mergeCell ref="E285:E286"/>
    <mergeCell ref="J285:J286"/>
    <mergeCell ref="K285:K286"/>
    <mergeCell ref="B365:B366"/>
    <mergeCell ref="B4:B5"/>
    <mergeCell ref="E4:E5"/>
    <mergeCell ref="J4:J5"/>
    <mergeCell ref="E242:E243"/>
    <mergeCell ref="B242:B243"/>
    <mergeCell ref="B52:B53"/>
    <mergeCell ref="E52:E53"/>
    <mergeCell ref="B138:B139"/>
    <mergeCell ref="B189:B190"/>
    <mergeCell ref="K4:K5"/>
    <mergeCell ref="L4:L5"/>
    <mergeCell ref="M4:M5"/>
    <mergeCell ref="N4:N5"/>
    <mergeCell ref="M242:M243"/>
    <mergeCell ref="B92:B93"/>
    <mergeCell ref="E92:E93"/>
    <mergeCell ref="N92:N93"/>
    <mergeCell ref="M92:M93"/>
    <mergeCell ref="L52:L53"/>
    <mergeCell ref="M52:M53"/>
    <mergeCell ref="J92:J93"/>
    <mergeCell ref="M189:M190"/>
    <mergeCell ref="L92:L93"/>
    <mergeCell ref="K92:K93"/>
    <mergeCell ref="N52:N53"/>
    <mergeCell ref="B408:B409"/>
    <mergeCell ref="C453:G453"/>
    <mergeCell ref="E138:E139"/>
    <mergeCell ref="J138:J139"/>
    <mergeCell ref="K138:K139"/>
    <mergeCell ref="L138:L139"/>
    <mergeCell ref="N242:N243"/>
    <mergeCell ref="J52:J53"/>
    <mergeCell ref="K52:K53"/>
    <mergeCell ref="C454:G454"/>
    <mergeCell ref="N138:N139"/>
    <mergeCell ref="J189:J190"/>
    <mergeCell ref="K189:K190"/>
    <mergeCell ref="L189:L190"/>
    <mergeCell ref="M138:M139"/>
    <mergeCell ref="N189:N190"/>
    <mergeCell ref="J242:J243"/>
    <mergeCell ref="K242:K243"/>
    <mergeCell ref="L242:L2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9" r:id="rId1"/>
  <rowBreaks count="6" manualBreakCount="6">
    <brk id="49" min="1" max="24" man="1"/>
    <brk id="90" max="255" man="1"/>
    <brk id="136" min="1" max="24" man="1"/>
    <brk id="239" min="1" max="24" man="1"/>
    <brk id="283" min="1" max="24" man="1"/>
    <brk id="4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0"/>
  <sheetViews>
    <sheetView workbookViewId="0" topLeftCell="A1">
      <selection activeCell="B2" sqref="B2"/>
    </sheetView>
  </sheetViews>
  <sheetFormatPr defaultColWidth="9.00390625" defaultRowHeight="12.75"/>
  <cols>
    <col min="1" max="1" width="3.625" style="48" bestFit="1" customWidth="1"/>
    <col min="2" max="2" width="30.875" style="48" customWidth="1"/>
    <col min="3" max="3" width="4.75390625" style="48" bestFit="1" customWidth="1"/>
    <col min="4" max="4" width="11.125" style="48" customWidth="1"/>
    <col min="5" max="5" width="8.125" style="216" customWidth="1"/>
    <col min="6" max="6" width="8.125" style="48" customWidth="1"/>
    <col min="7" max="7" width="8.125" style="216" customWidth="1"/>
    <col min="8" max="8" width="8.125" style="48" customWidth="1"/>
    <col min="9" max="9" width="8.125" style="216" customWidth="1"/>
    <col min="10" max="10" width="8.125" style="48" customWidth="1"/>
    <col min="11" max="11" width="7.75390625" style="216" customWidth="1"/>
    <col min="12" max="12" width="7.75390625" style="48" customWidth="1"/>
    <col min="13" max="13" width="8.75390625" style="222" customWidth="1"/>
    <col min="14" max="14" width="8.75390625" style="48" customWidth="1"/>
    <col min="15" max="15" width="9.125" style="216" customWidth="1"/>
    <col min="16" max="16" width="9.125" style="48" customWidth="1"/>
    <col min="17" max="17" width="9.125" style="216" customWidth="1"/>
    <col min="18" max="18" width="9.125" style="48" customWidth="1"/>
    <col min="19" max="19" width="9.125" style="216" customWidth="1"/>
    <col min="20" max="20" width="7.75390625" style="48" customWidth="1"/>
    <col min="21" max="21" width="9.125" style="216" customWidth="1"/>
    <col min="22" max="22" width="9.125" style="48" customWidth="1"/>
    <col min="23" max="23" width="9.125" style="216" customWidth="1"/>
    <col min="24" max="24" width="9.125" style="48" customWidth="1"/>
    <col min="25" max="25" width="10.75390625" style="48" bestFit="1" customWidth="1"/>
    <col min="26" max="26" width="10.75390625" style="48" customWidth="1"/>
    <col min="27" max="27" width="9.125" style="67" customWidth="1"/>
    <col min="28" max="28" width="10.00390625" style="48" customWidth="1"/>
    <col min="29" max="16384" width="9.125" style="48" customWidth="1"/>
  </cols>
  <sheetData>
    <row r="1" spans="2:14" ht="12.75">
      <c r="B1" s="129" t="s">
        <v>0</v>
      </c>
      <c r="H1" s="128"/>
      <c r="J1" s="67"/>
      <c r="L1" s="67"/>
      <c r="M1" s="216"/>
      <c r="N1" s="67"/>
    </row>
    <row r="2" spans="1:26" ht="27" customHeight="1">
      <c r="A2" s="55" t="s">
        <v>3</v>
      </c>
      <c r="B2" s="55" t="s">
        <v>52</v>
      </c>
      <c r="C2" s="55" t="s">
        <v>161</v>
      </c>
      <c r="D2" s="55" t="s">
        <v>53</v>
      </c>
      <c r="E2" s="215">
        <v>1</v>
      </c>
      <c r="F2" s="55" t="s">
        <v>54</v>
      </c>
      <c r="G2" s="215">
        <v>2</v>
      </c>
      <c r="H2" s="55" t="s">
        <v>54</v>
      </c>
      <c r="I2" s="215">
        <v>3</v>
      </c>
      <c r="J2" s="55" t="s">
        <v>54</v>
      </c>
      <c r="K2" s="215">
        <v>4</v>
      </c>
      <c r="L2" s="55" t="s">
        <v>54</v>
      </c>
      <c r="M2" s="221">
        <v>5</v>
      </c>
      <c r="N2" s="55" t="s">
        <v>54</v>
      </c>
      <c r="O2" s="215">
        <v>1</v>
      </c>
      <c r="P2" s="55" t="s">
        <v>54</v>
      </c>
      <c r="Q2" s="215">
        <v>2</v>
      </c>
      <c r="R2" s="55" t="s">
        <v>54</v>
      </c>
      <c r="S2" s="215">
        <v>3</v>
      </c>
      <c r="T2" s="55" t="s">
        <v>54</v>
      </c>
      <c r="U2" s="215">
        <v>4</v>
      </c>
      <c r="V2" s="55" t="s">
        <v>54</v>
      </c>
      <c r="W2" s="215">
        <v>5</v>
      </c>
      <c r="X2" s="55" t="s">
        <v>54</v>
      </c>
      <c r="Y2" s="55" t="s">
        <v>56</v>
      </c>
      <c r="Z2" s="55" t="s">
        <v>54</v>
      </c>
    </row>
    <row r="3" spans="1:27" ht="15">
      <c r="A3" s="52">
        <v>1</v>
      </c>
      <c r="B3" s="50" t="str">
        <f>'Меню март-май 2024'!P5</f>
        <v>Яйцо (1 сорт)</v>
      </c>
      <c r="C3" s="51" t="str">
        <f>'Меню март-май 2024'!Q5</f>
        <v>шт</v>
      </c>
      <c r="D3" s="77">
        <f>'Меню март-май 2024'!R5</f>
        <v>13.5</v>
      </c>
      <c r="E3" s="217">
        <v>0.2</v>
      </c>
      <c r="F3" s="49">
        <f>E3*D3</f>
        <v>2.7</v>
      </c>
      <c r="G3" s="217"/>
      <c r="H3" s="49">
        <f>G3*D3</f>
        <v>0</v>
      </c>
      <c r="I3" s="217">
        <f>1+0.18</f>
        <v>1.18</v>
      </c>
      <c r="J3" s="49">
        <f>I3*D3</f>
        <v>15.93</v>
      </c>
      <c r="K3" s="217"/>
      <c r="L3" s="49">
        <f>K3*D3</f>
        <v>0</v>
      </c>
      <c r="M3" s="223">
        <f>0.12+0.2</f>
        <v>0.32</v>
      </c>
      <c r="N3" s="49">
        <f>D3*M3</f>
        <v>4.32</v>
      </c>
      <c r="O3" s="217">
        <v>0.16</v>
      </c>
      <c r="P3" s="49">
        <f>O3*D3</f>
        <v>2.16</v>
      </c>
      <c r="Q3" s="217"/>
      <c r="R3" s="49">
        <f>D3*Q3</f>
        <v>0</v>
      </c>
      <c r="S3" s="217"/>
      <c r="T3" s="49">
        <f>D3*S3</f>
        <v>0</v>
      </c>
      <c r="U3" s="217">
        <v>0.19</v>
      </c>
      <c r="V3" s="49">
        <f>U3*D3</f>
        <v>2.57</v>
      </c>
      <c r="W3" s="217"/>
      <c r="X3" s="49">
        <f>D3*W3</f>
        <v>0</v>
      </c>
      <c r="Y3" s="56">
        <f>(E3+G3+I3+K3+M3+O3+Q3+S3+U3+W3)</f>
        <v>2.05</v>
      </c>
      <c r="Z3" s="49">
        <f>Y3*D3</f>
        <v>27.68</v>
      </c>
      <c r="AA3" s="67">
        <f>Y3*5</f>
        <v>10.25</v>
      </c>
    </row>
    <row r="4" spans="1:27" ht="30">
      <c r="A4" s="52">
        <v>2</v>
      </c>
      <c r="B4" s="50" t="str">
        <f>'Меню март-май 2024'!P6</f>
        <v>Мясо говядины без кости (1 категории)</v>
      </c>
      <c r="C4" s="51" t="str">
        <f>'Меню март-май 2024'!Q6</f>
        <v>кг</v>
      </c>
      <c r="D4" s="77">
        <f>'Меню март-май 2024'!R6</f>
        <v>622</v>
      </c>
      <c r="E4" s="217"/>
      <c r="F4" s="49">
        <f aca="true" t="shared" si="0" ref="F4:F58">D4*E4/1000</f>
        <v>0</v>
      </c>
      <c r="G4" s="217">
        <v>73</v>
      </c>
      <c r="H4" s="49">
        <f>G4*D4/1000</f>
        <v>45.41</v>
      </c>
      <c r="I4" s="217"/>
      <c r="J4" s="49">
        <f>I4*D4/1000</f>
        <v>0</v>
      </c>
      <c r="K4" s="217"/>
      <c r="L4" s="49">
        <f>K4*D4/1000</f>
        <v>0</v>
      </c>
      <c r="M4" s="223">
        <v>65</v>
      </c>
      <c r="N4" s="49">
        <f>D4*M4/1000</f>
        <v>40.43</v>
      </c>
      <c r="O4" s="217">
        <v>82</v>
      </c>
      <c r="P4" s="49">
        <f aca="true" t="shared" si="1" ref="P4:P58">D4*O4/1000</f>
        <v>51</v>
      </c>
      <c r="Q4" s="217"/>
      <c r="R4" s="49">
        <f aca="true" t="shared" si="2" ref="R4:R58">D4*Q4/1000</f>
        <v>0</v>
      </c>
      <c r="S4" s="217"/>
      <c r="T4" s="49">
        <f aca="true" t="shared" si="3" ref="T4:T58">D4*S4/1000</f>
        <v>0</v>
      </c>
      <c r="U4" s="217"/>
      <c r="V4" s="49">
        <f aca="true" t="shared" si="4" ref="V4:V58">U4*D4/1000</f>
        <v>0</v>
      </c>
      <c r="W4" s="217">
        <v>85</v>
      </c>
      <c r="X4" s="49">
        <f aca="true" t="shared" si="5" ref="X4:X58">D4*W4/1000</f>
        <v>52.87</v>
      </c>
      <c r="Y4" s="56">
        <f aca="true" t="shared" si="6" ref="Y4:Y58">(E4+G4+I4+K4+M4+O4+Q4+S4+U4+W4)</f>
        <v>305</v>
      </c>
      <c r="Z4" s="49">
        <f aca="true" t="shared" si="7" ref="Z4:Z35">Y4*D4/1000</f>
        <v>189.71</v>
      </c>
      <c r="AA4" s="67">
        <f aca="true" t="shared" si="8" ref="AA4:AA58">Y4*5</f>
        <v>1525</v>
      </c>
    </row>
    <row r="5" spans="1:27" ht="30">
      <c r="A5" s="52">
        <v>3</v>
      </c>
      <c r="B5" s="50" t="str">
        <f>'Меню март-май 2024'!P7</f>
        <v>Мясо птицы (1 категории), курица</v>
      </c>
      <c r="C5" s="51" t="str">
        <f>'Меню март-май 2024'!Q7</f>
        <v>кг</v>
      </c>
      <c r="D5" s="77">
        <f>'Меню март-май 2024'!R7</f>
        <v>292</v>
      </c>
      <c r="E5" s="217">
        <v>138</v>
      </c>
      <c r="F5" s="49">
        <f t="shared" si="0"/>
        <v>40.3</v>
      </c>
      <c r="G5" s="217"/>
      <c r="H5" s="49">
        <f aca="true" t="shared" si="9" ref="H5:H58">G5*D5/1000</f>
        <v>0</v>
      </c>
      <c r="I5" s="217">
        <v>46</v>
      </c>
      <c r="J5" s="49">
        <f aca="true" t="shared" si="10" ref="J5:J58">I5*D5/1000</f>
        <v>13.43</v>
      </c>
      <c r="K5" s="217"/>
      <c r="L5" s="49">
        <f aca="true" t="shared" si="11" ref="L5:L58">K5*D5/1000</f>
        <v>0</v>
      </c>
      <c r="M5" s="223"/>
      <c r="N5" s="49">
        <f aca="true" t="shared" si="12" ref="N5:N58">D5*M5/1000</f>
        <v>0</v>
      </c>
      <c r="O5" s="217"/>
      <c r="P5" s="49">
        <f t="shared" si="1"/>
        <v>0</v>
      </c>
      <c r="Q5" s="217">
        <v>134</v>
      </c>
      <c r="R5" s="49">
        <f t="shared" si="2"/>
        <v>39.13</v>
      </c>
      <c r="S5" s="217"/>
      <c r="T5" s="49">
        <f t="shared" si="3"/>
        <v>0</v>
      </c>
      <c r="U5" s="217"/>
      <c r="V5" s="49">
        <f t="shared" si="4"/>
        <v>0</v>
      </c>
      <c r="W5" s="217"/>
      <c r="X5" s="49">
        <f t="shared" si="5"/>
        <v>0</v>
      </c>
      <c r="Y5" s="56">
        <f t="shared" si="6"/>
        <v>318</v>
      </c>
      <c r="Z5" s="49">
        <f t="shared" si="7"/>
        <v>92.86</v>
      </c>
      <c r="AA5" s="67">
        <f t="shared" si="8"/>
        <v>1590</v>
      </c>
    </row>
    <row r="6" spans="1:27" ht="15">
      <c r="A6" s="52">
        <v>4</v>
      </c>
      <c r="B6" s="50"/>
      <c r="C6" s="51"/>
      <c r="D6" s="77"/>
      <c r="E6" s="217"/>
      <c r="F6" s="49">
        <f t="shared" si="0"/>
        <v>0</v>
      </c>
      <c r="G6" s="217"/>
      <c r="H6" s="49">
        <f t="shared" si="9"/>
        <v>0</v>
      </c>
      <c r="I6" s="217"/>
      <c r="J6" s="49">
        <f t="shared" si="10"/>
        <v>0</v>
      </c>
      <c r="K6" s="217"/>
      <c r="L6" s="49">
        <f t="shared" si="11"/>
        <v>0</v>
      </c>
      <c r="M6" s="223"/>
      <c r="N6" s="49">
        <f t="shared" si="12"/>
        <v>0</v>
      </c>
      <c r="O6" s="217"/>
      <c r="P6" s="49">
        <f t="shared" si="1"/>
        <v>0</v>
      </c>
      <c r="Q6" s="217"/>
      <c r="R6" s="49">
        <f t="shared" si="2"/>
        <v>0</v>
      </c>
      <c r="S6" s="217"/>
      <c r="T6" s="49">
        <f t="shared" si="3"/>
        <v>0</v>
      </c>
      <c r="U6" s="217"/>
      <c r="V6" s="49">
        <f t="shared" si="4"/>
        <v>0</v>
      </c>
      <c r="W6" s="217"/>
      <c r="X6" s="49">
        <f t="shared" si="5"/>
        <v>0</v>
      </c>
      <c r="Y6" s="56">
        <f t="shared" si="6"/>
        <v>0</v>
      </c>
      <c r="Z6" s="49">
        <f t="shared" si="7"/>
        <v>0</v>
      </c>
      <c r="AA6" s="67">
        <f t="shared" si="8"/>
        <v>0</v>
      </c>
    </row>
    <row r="7" spans="1:27" ht="15">
      <c r="A7" s="52">
        <v>5</v>
      </c>
      <c r="B7" s="50"/>
      <c r="C7" s="51"/>
      <c r="D7" s="77"/>
      <c r="E7" s="217"/>
      <c r="F7" s="49">
        <f t="shared" si="0"/>
        <v>0</v>
      </c>
      <c r="G7" s="217"/>
      <c r="H7" s="49">
        <f t="shared" si="9"/>
        <v>0</v>
      </c>
      <c r="I7" s="217"/>
      <c r="J7" s="49">
        <f t="shared" si="10"/>
        <v>0</v>
      </c>
      <c r="K7" s="217"/>
      <c r="L7" s="49">
        <f t="shared" si="11"/>
        <v>0</v>
      </c>
      <c r="M7" s="223"/>
      <c r="N7" s="49">
        <f t="shared" si="12"/>
        <v>0</v>
      </c>
      <c r="O7" s="217"/>
      <c r="P7" s="49">
        <f t="shared" si="1"/>
        <v>0</v>
      </c>
      <c r="Q7" s="217"/>
      <c r="R7" s="49">
        <f t="shared" si="2"/>
        <v>0</v>
      </c>
      <c r="S7" s="217"/>
      <c r="T7" s="49">
        <f t="shared" si="3"/>
        <v>0</v>
      </c>
      <c r="U7" s="217"/>
      <c r="V7" s="49">
        <f t="shared" si="4"/>
        <v>0</v>
      </c>
      <c r="W7" s="217"/>
      <c r="X7" s="49">
        <f t="shared" si="5"/>
        <v>0</v>
      </c>
      <c r="Y7" s="56">
        <f t="shared" si="6"/>
        <v>0</v>
      </c>
      <c r="Z7" s="49">
        <f t="shared" si="7"/>
        <v>0</v>
      </c>
      <c r="AA7" s="67">
        <f t="shared" si="8"/>
        <v>0</v>
      </c>
    </row>
    <row r="8" spans="1:27" ht="14.25" customHeight="1">
      <c r="A8" s="52">
        <v>6</v>
      </c>
      <c r="B8" s="50" t="str">
        <f>'Меню март-май 2024'!P12</f>
        <v>Молоко пастеризованное (2,5%)</v>
      </c>
      <c r="C8" s="51" t="str">
        <f>'Меню март-май 2024'!Q12</f>
        <v>л</v>
      </c>
      <c r="D8" s="77">
        <f>'Меню март-май 2024'!R12</f>
        <v>72</v>
      </c>
      <c r="E8" s="217">
        <v>27</v>
      </c>
      <c r="F8" s="49">
        <f t="shared" si="0"/>
        <v>1.94</v>
      </c>
      <c r="G8" s="217"/>
      <c r="H8" s="49">
        <f t="shared" si="9"/>
        <v>0</v>
      </c>
      <c r="I8" s="217">
        <v>95</v>
      </c>
      <c r="J8" s="49">
        <f t="shared" si="10"/>
        <v>6.84</v>
      </c>
      <c r="K8" s="217"/>
      <c r="L8" s="49">
        <f t="shared" si="11"/>
        <v>0</v>
      </c>
      <c r="M8" s="223"/>
      <c r="N8" s="49">
        <f t="shared" si="12"/>
        <v>0</v>
      </c>
      <c r="O8" s="217"/>
      <c r="P8" s="49">
        <f t="shared" si="1"/>
        <v>0</v>
      </c>
      <c r="Q8" s="217">
        <v>90</v>
      </c>
      <c r="R8" s="49">
        <f t="shared" si="2"/>
        <v>6.48</v>
      </c>
      <c r="S8" s="217">
        <v>30</v>
      </c>
      <c r="T8" s="49">
        <f t="shared" si="3"/>
        <v>2.16</v>
      </c>
      <c r="U8" s="217"/>
      <c r="V8" s="49">
        <f t="shared" si="4"/>
        <v>0</v>
      </c>
      <c r="W8" s="217"/>
      <c r="X8" s="49">
        <f t="shared" si="5"/>
        <v>0</v>
      </c>
      <c r="Y8" s="56">
        <f t="shared" si="6"/>
        <v>242</v>
      </c>
      <c r="Z8" s="49">
        <f t="shared" si="7"/>
        <v>17.42</v>
      </c>
      <c r="AA8" s="67">
        <f t="shared" si="8"/>
        <v>1210</v>
      </c>
    </row>
    <row r="9" spans="1:27" ht="15">
      <c r="A9" s="52">
        <v>7</v>
      </c>
      <c r="B9" s="50" t="str">
        <f>'Меню март-май 2024'!P13</f>
        <v>Масло сливочное (72,5%)</v>
      </c>
      <c r="C9" s="51" t="str">
        <f>'Меню март-май 2024'!Q13</f>
        <v>кг</v>
      </c>
      <c r="D9" s="77">
        <f>'Меню март-май 2024'!R13</f>
        <v>467</v>
      </c>
      <c r="E9" s="217">
        <v>7</v>
      </c>
      <c r="F9" s="49">
        <f t="shared" si="0"/>
        <v>3.27</v>
      </c>
      <c r="G9" s="217">
        <f>2+6+10</f>
        <v>18</v>
      </c>
      <c r="H9" s="49">
        <f t="shared" si="9"/>
        <v>8.41</v>
      </c>
      <c r="I9" s="217"/>
      <c r="J9" s="49">
        <f t="shared" si="10"/>
        <v>0</v>
      </c>
      <c r="K9" s="217"/>
      <c r="L9" s="49">
        <f t="shared" si="11"/>
        <v>0</v>
      </c>
      <c r="M9" s="223">
        <f>5+8+5+3</f>
        <v>21</v>
      </c>
      <c r="N9" s="49">
        <f t="shared" si="12"/>
        <v>9.81</v>
      </c>
      <c r="O9" s="217">
        <v>11</v>
      </c>
      <c r="P9" s="49">
        <f t="shared" si="1"/>
        <v>5.14</v>
      </c>
      <c r="Q9" s="217"/>
      <c r="R9" s="49">
        <f t="shared" si="2"/>
        <v>0</v>
      </c>
      <c r="S9" s="217">
        <f>5+20</f>
        <v>25</v>
      </c>
      <c r="T9" s="49">
        <f t="shared" si="3"/>
        <v>11.68</v>
      </c>
      <c r="U9" s="217">
        <v>10</v>
      </c>
      <c r="V9" s="49">
        <f t="shared" si="4"/>
        <v>4.67</v>
      </c>
      <c r="W9" s="217">
        <f>6+6</f>
        <v>12</v>
      </c>
      <c r="X9" s="49">
        <f t="shared" si="5"/>
        <v>5.6</v>
      </c>
      <c r="Y9" s="56">
        <f t="shared" si="6"/>
        <v>104</v>
      </c>
      <c r="Z9" s="49">
        <f t="shared" si="7"/>
        <v>48.57</v>
      </c>
      <c r="AA9" s="67">
        <f t="shared" si="8"/>
        <v>520</v>
      </c>
    </row>
    <row r="10" spans="1:27" ht="15">
      <c r="A10" s="52">
        <v>8</v>
      </c>
      <c r="B10" s="50" t="str">
        <f>'Меню март-май 2024'!P14</f>
        <v>Сметана (15%)</v>
      </c>
      <c r="C10" s="51" t="str">
        <f>'Меню март-май 2024'!Q14</f>
        <v>кг</v>
      </c>
      <c r="D10" s="77">
        <f>'Меню март-май 2024'!R14</f>
        <v>199</v>
      </c>
      <c r="E10" s="217">
        <v>8</v>
      </c>
      <c r="F10" s="49">
        <f t="shared" si="0"/>
        <v>1.59</v>
      </c>
      <c r="G10" s="217"/>
      <c r="H10" s="49">
        <f t="shared" si="9"/>
        <v>0</v>
      </c>
      <c r="I10" s="217">
        <v>17</v>
      </c>
      <c r="J10" s="49">
        <f t="shared" si="10"/>
        <v>3.38</v>
      </c>
      <c r="K10" s="217"/>
      <c r="L10" s="49">
        <f t="shared" si="11"/>
        <v>0</v>
      </c>
      <c r="M10" s="223"/>
      <c r="N10" s="49">
        <f t="shared" si="12"/>
        <v>0</v>
      </c>
      <c r="O10" s="217"/>
      <c r="P10" s="49">
        <f t="shared" si="1"/>
        <v>0</v>
      </c>
      <c r="Q10" s="217"/>
      <c r="R10" s="49">
        <f t="shared" si="2"/>
        <v>0</v>
      </c>
      <c r="S10" s="217"/>
      <c r="T10" s="49">
        <f t="shared" si="3"/>
        <v>0</v>
      </c>
      <c r="U10" s="217">
        <v>12</v>
      </c>
      <c r="V10" s="49">
        <f t="shared" si="4"/>
        <v>2.39</v>
      </c>
      <c r="W10" s="217">
        <v>13</v>
      </c>
      <c r="X10" s="49">
        <f t="shared" si="5"/>
        <v>2.59</v>
      </c>
      <c r="Y10" s="56">
        <f t="shared" si="6"/>
        <v>50</v>
      </c>
      <c r="Z10" s="49">
        <f t="shared" si="7"/>
        <v>9.95</v>
      </c>
      <c r="AA10" s="67">
        <f t="shared" si="8"/>
        <v>250</v>
      </c>
    </row>
    <row r="11" spans="1:27" ht="15">
      <c r="A11" s="52">
        <v>9</v>
      </c>
      <c r="B11" s="50" t="str">
        <f>'Меню март-май 2024'!P15</f>
        <v>Творог (5%)</v>
      </c>
      <c r="C11" s="51" t="str">
        <f>'Меню март-май 2024'!Q15</f>
        <v>кг</v>
      </c>
      <c r="D11" s="77">
        <f>'Меню март-май 2024'!R15</f>
        <v>217</v>
      </c>
      <c r="E11" s="217"/>
      <c r="F11" s="49">
        <f t="shared" si="0"/>
        <v>0</v>
      </c>
      <c r="G11" s="217"/>
      <c r="H11" s="49">
        <f t="shared" si="9"/>
        <v>0</v>
      </c>
      <c r="I11" s="217"/>
      <c r="J11" s="49">
        <f t="shared" si="10"/>
        <v>0</v>
      </c>
      <c r="K11" s="217"/>
      <c r="L11" s="49">
        <f t="shared" si="11"/>
        <v>0</v>
      </c>
      <c r="M11" s="223"/>
      <c r="N11" s="49">
        <f t="shared" si="12"/>
        <v>0</v>
      </c>
      <c r="O11" s="217"/>
      <c r="P11" s="49">
        <f t="shared" si="1"/>
        <v>0</v>
      </c>
      <c r="Q11" s="217"/>
      <c r="R11" s="49">
        <f t="shared" si="2"/>
        <v>0</v>
      </c>
      <c r="S11" s="217"/>
      <c r="T11" s="49">
        <f t="shared" si="3"/>
        <v>0</v>
      </c>
      <c r="U11" s="217">
        <v>172</v>
      </c>
      <c r="V11" s="49">
        <f t="shared" si="4"/>
        <v>37.32</v>
      </c>
      <c r="W11" s="217"/>
      <c r="X11" s="49">
        <f t="shared" si="5"/>
        <v>0</v>
      </c>
      <c r="Y11" s="56">
        <f t="shared" si="6"/>
        <v>172</v>
      </c>
      <c r="Z11" s="49">
        <f t="shared" si="7"/>
        <v>37.32</v>
      </c>
      <c r="AA11" s="67">
        <f t="shared" si="8"/>
        <v>860</v>
      </c>
    </row>
    <row r="12" spans="1:27" ht="15">
      <c r="A12" s="52">
        <v>10</v>
      </c>
      <c r="B12" s="50" t="str">
        <f>'Меню март-май 2024'!P16</f>
        <v>Сыр твердый (45%)</v>
      </c>
      <c r="C12" s="51" t="str">
        <f>'Меню март-май 2024'!Q16</f>
        <v>кг</v>
      </c>
      <c r="D12" s="77">
        <f>'Меню март-май 2024'!R16</f>
        <v>543</v>
      </c>
      <c r="E12" s="217">
        <v>15</v>
      </c>
      <c r="F12" s="49">
        <f t="shared" si="0"/>
        <v>8.15</v>
      </c>
      <c r="G12" s="217"/>
      <c r="H12" s="49">
        <f t="shared" si="9"/>
        <v>0</v>
      </c>
      <c r="I12" s="217">
        <v>18</v>
      </c>
      <c r="J12" s="49">
        <f t="shared" si="10"/>
        <v>9.77</v>
      </c>
      <c r="K12" s="217">
        <v>19</v>
      </c>
      <c r="L12" s="49">
        <f t="shared" si="11"/>
        <v>10.32</v>
      </c>
      <c r="M12" s="223"/>
      <c r="N12" s="49">
        <f t="shared" si="12"/>
        <v>0</v>
      </c>
      <c r="O12" s="217"/>
      <c r="P12" s="49">
        <f t="shared" si="1"/>
        <v>0</v>
      </c>
      <c r="Q12" s="217"/>
      <c r="R12" s="49">
        <f t="shared" si="2"/>
        <v>0</v>
      </c>
      <c r="S12" s="217"/>
      <c r="T12" s="49">
        <f t="shared" si="3"/>
        <v>0</v>
      </c>
      <c r="U12" s="217"/>
      <c r="V12" s="49">
        <f t="shared" si="4"/>
        <v>0</v>
      </c>
      <c r="W12" s="217"/>
      <c r="X12" s="49">
        <f t="shared" si="5"/>
        <v>0</v>
      </c>
      <c r="Y12" s="56">
        <f t="shared" si="6"/>
        <v>52</v>
      </c>
      <c r="Z12" s="49">
        <f t="shared" si="7"/>
        <v>28.24</v>
      </c>
      <c r="AA12" s="67">
        <f t="shared" si="8"/>
        <v>260</v>
      </c>
    </row>
    <row r="13" spans="1:27" ht="30">
      <c r="A13" s="52">
        <v>11</v>
      </c>
      <c r="B13" s="50" t="str">
        <f>'Меню март-май 2024'!P20</f>
        <v>Молоко сгущенное цельное с сахаром (8,5%)</v>
      </c>
      <c r="C13" s="51" t="str">
        <f>'Меню март-май 2024'!Q20</f>
        <v>кг</v>
      </c>
      <c r="D13" s="77">
        <f>'Меню март-май 2024'!R20</f>
        <v>247</v>
      </c>
      <c r="E13" s="217"/>
      <c r="F13" s="49">
        <f t="shared" si="0"/>
        <v>0</v>
      </c>
      <c r="G13" s="217"/>
      <c r="H13" s="49">
        <f t="shared" si="9"/>
        <v>0</v>
      </c>
      <c r="I13" s="217"/>
      <c r="J13" s="49">
        <f t="shared" si="10"/>
        <v>0</v>
      </c>
      <c r="K13" s="217"/>
      <c r="L13" s="49">
        <f t="shared" si="11"/>
        <v>0</v>
      </c>
      <c r="M13" s="223"/>
      <c r="N13" s="49">
        <f t="shared" si="12"/>
        <v>0</v>
      </c>
      <c r="O13" s="217"/>
      <c r="P13" s="49">
        <f t="shared" si="1"/>
        <v>0</v>
      </c>
      <c r="Q13" s="217"/>
      <c r="R13" s="49">
        <f t="shared" si="2"/>
        <v>0</v>
      </c>
      <c r="S13" s="217"/>
      <c r="T13" s="49">
        <f t="shared" si="3"/>
        <v>0</v>
      </c>
      <c r="U13" s="217">
        <v>30</v>
      </c>
      <c r="V13" s="49">
        <f t="shared" si="4"/>
        <v>7.41</v>
      </c>
      <c r="W13" s="217"/>
      <c r="X13" s="49">
        <f t="shared" si="5"/>
        <v>0</v>
      </c>
      <c r="Y13" s="56">
        <f t="shared" si="6"/>
        <v>30</v>
      </c>
      <c r="Z13" s="49">
        <f t="shared" si="7"/>
        <v>7.41</v>
      </c>
      <c r="AA13" s="67">
        <f t="shared" si="8"/>
        <v>150</v>
      </c>
    </row>
    <row r="14" spans="1:27" ht="15">
      <c r="A14" s="52">
        <v>12</v>
      </c>
      <c r="B14" s="50" t="str">
        <f>'Меню март-май 2024'!P21</f>
        <v>Картофель (1 сорт)</v>
      </c>
      <c r="C14" s="51" t="str">
        <f>'Меню март-май 2024'!Q21</f>
        <v>кг</v>
      </c>
      <c r="D14" s="77">
        <f>'Меню март-май 2024'!R21</f>
        <v>54</v>
      </c>
      <c r="E14" s="217"/>
      <c r="F14" s="49">
        <f t="shared" si="0"/>
        <v>0</v>
      </c>
      <c r="G14" s="217"/>
      <c r="H14" s="49">
        <f t="shared" si="9"/>
        <v>0</v>
      </c>
      <c r="I14" s="217"/>
      <c r="J14" s="49">
        <f t="shared" si="10"/>
        <v>0</v>
      </c>
      <c r="K14" s="217">
        <f>290+24</f>
        <v>314</v>
      </c>
      <c r="L14" s="49">
        <f t="shared" si="11"/>
        <v>16.96</v>
      </c>
      <c r="M14" s="223"/>
      <c r="N14" s="49">
        <f t="shared" si="12"/>
        <v>0</v>
      </c>
      <c r="O14" s="217"/>
      <c r="P14" s="49">
        <f t="shared" si="1"/>
        <v>0</v>
      </c>
      <c r="Q14" s="217"/>
      <c r="R14" s="49">
        <f t="shared" si="2"/>
        <v>0</v>
      </c>
      <c r="S14" s="217">
        <v>214</v>
      </c>
      <c r="T14" s="49">
        <f t="shared" si="3"/>
        <v>11.56</v>
      </c>
      <c r="U14" s="217"/>
      <c r="V14" s="49">
        <f t="shared" si="4"/>
        <v>0</v>
      </c>
      <c r="W14" s="217"/>
      <c r="X14" s="49">
        <f t="shared" si="5"/>
        <v>0</v>
      </c>
      <c r="Y14" s="56">
        <f t="shared" si="6"/>
        <v>528</v>
      </c>
      <c r="Z14" s="49">
        <f t="shared" si="7"/>
        <v>28.51</v>
      </c>
      <c r="AA14" s="67">
        <f t="shared" si="8"/>
        <v>2640</v>
      </c>
    </row>
    <row r="15" spans="1:27" ht="15">
      <c r="A15" s="52">
        <v>13</v>
      </c>
      <c r="B15" s="50" t="str">
        <f>'Меню март-май 2024'!P22</f>
        <v>Капуста белокачанная (1 сорт)</v>
      </c>
      <c r="C15" s="51" t="str">
        <f>'Меню март-май 2024'!Q22</f>
        <v>кг</v>
      </c>
      <c r="D15" s="77">
        <f>'Меню март-май 2024'!R22</f>
        <v>57</v>
      </c>
      <c r="E15" s="217"/>
      <c r="F15" s="49">
        <f t="shared" si="0"/>
        <v>0</v>
      </c>
      <c r="G15" s="217"/>
      <c r="H15" s="49">
        <f t="shared" si="9"/>
        <v>0</v>
      </c>
      <c r="I15" s="217"/>
      <c r="J15" s="49">
        <f t="shared" si="10"/>
        <v>0</v>
      </c>
      <c r="K15" s="217"/>
      <c r="L15" s="49">
        <f t="shared" si="11"/>
        <v>0</v>
      </c>
      <c r="M15" s="223"/>
      <c r="N15" s="49">
        <f t="shared" si="12"/>
        <v>0</v>
      </c>
      <c r="O15" s="217"/>
      <c r="P15" s="49">
        <f t="shared" si="1"/>
        <v>0</v>
      </c>
      <c r="Q15" s="217"/>
      <c r="R15" s="49">
        <f t="shared" si="2"/>
        <v>0</v>
      </c>
      <c r="S15" s="217"/>
      <c r="T15" s="49">
        <f t="shared" si="3"/>
        <v>0</v>
      </c>
      <c r="U15" s="217"/>
      <c r="V15" s="49">
        <f t="shared" si="4"/>
        <v>0</v>
      </c>
      <c r="W15" s="217"/>
      <c r="X15" s="49">
        <f t="shared" si="5"/>
        <v>0</v>
      </c>
      <c r="Y15" s="56">
        <f t="shared" si="6"/>
        <v>0</v>
      </c>
      <c r="Z15" s="49">
        <f t="shared" si="7"/>
        <v>0</v>
      </c>
      <c r="AA15" s="67">
        <f t="shared" si="8"/>
        <v>0</v>
      </c>
    </row>
    <row r="16" spans="1:27" ht="15">
      <c r="A16" s="52">
        <v>14</v>
      </c>
      <c r="B16" s="50" t="str">
        <f>'Меню март-май 2024'!P23</f>
        <v>Лук репчатый (1 сорт)</v>
      </c>
      <c r="C16" s="51" t="str">
        <f>'Меню март-май 2024'!Q23</f>
        <v>кг</v>
      </c>
      <c r="D16" s="77">
        <f>'Меню март-май 2024'!R23</f>
        <v>49</v>
      </c>
      <c r="E16" s="217"/>
      <c r="F16" s="49">
        <f t="shared" si="0"/>
        <v>0</v>
      </c>
      <c r="G16" s="217">
        <v>10</v>
      </c>
      <c r="H16" s="49">
        <f t="shared" si="9"/>
        <v>0.49</v>
      </c>
      <c r="I16" s="217"/>
      <c r="J16" s="49">
        <f t="shared" si="10"/>
        <v>0</v>
      </c>
      <c r="K16" s="217">
        <f>24+11</f>
        <v>35</v>
      </c>
      <c r="L16" s="49">
        <f t="shared" si="11"/>
        <v>1.72</v>
      </c>
      <c r="M16" s="223">
        <v>13</v>
      </c>
      <c r="N16" s="49">
        <v>0.66</v>
      </c>
      <c r="O16" s="217">
        <f>17+12</f>
        <v>29</v>
      </c>
      <c r="P16" s="49">
        <f t="shared" si="1"/>
        <v>1.42</v>
      </c>
      <c r="Q16" s="217">
        <f>15</f>
        <v>15</v>
      </c>
      <c r="R16" s="49">
        <f t="shared" si="2"/>
        <v>0.74</v>
      </c>
      <c r="S16" s="217"/>
      <c r="T16" s="49">
        <f t="shared" si="3"/>
        <v>0</v>
      </c>
      <c r="U16" s="217"/>
      <c r="V16" s="49">
        <f t="shared" si="4"/>
        <v>0</v>
      </c>
      <c r="W16" s="217">
        <f>18+3</f>
        <v>21</v>
      </c>
      <c r="X16" s="49">
        <f t="shared" si="5"/>
        <v>1.03</v>
      </c>
      <c r="Y16" s="56">
        <f t="shared" si="6"/>
        <v>123</v>
      </c>
      <c r="Z16" s="49">
        <f t="shared" si="7"/>
        <v>6.03</v>
      </c>
      <c r="AA16" s="67">
        <f t="shared" si="8"/>
        <v>615</v>
      </c>
    </row>
    <row r="17" spans="1:27" ht="15">
      <c r="A17" s="52">
        <v>15</v>
      </c>
      <c r="B17" s="50" t="str">
        <f>'Меню март-май 2024'!P24</f>
        <v>Морковь (1 сорт)</v>
      </c>
      <c r="C17" s="51" t="str">
        <f>'Меню март-май 2024'!Q24</f>
        <v>кг</v>
      </c>
      <c r="D17" s="77">
        <f>'Меню март-май 2024'!R24</f>
        <v>60</v>
      </c>
      <c r="E17" s="217"/>
      <c r="F17" s="49">
        <f t="shared" si="0"/>
        <v>0</v>
      </c>
      <c r="G17" s="217">
        <v>15</v>
      </c>
      <c r="H17" s="49">
        <f t="shared" si="9"/>
        <v>0.9</v>
      </c>
      <c r="I17" s="217"/>
      <c r="J17" s="49">
        <f t="shared" si="10"/>
        <v>0</v>
      </c>
      <c r="K17" s="217">
        <v>8</v>
      </c>
      <c r="L17" s="49">
        <f t="shared" si="11"/>
        <v>0.48</v>
      </c>
      <c r="M17" s="223"/>
      <c r="N17" s="49">
        <f t="shared" si="12"/>
        <v>0</v>
      </c>
      <c r="O17" s="217"/>
      <c r="P17" s="49">
        <f t="shared" si="1"/>
        <v>0</v>
      </c>
      <c r="Q17" s="217">
        <f>16</f>
        <v>16</v>
      </c>
      <c r="R17" s="49">
        <f t="shared" si="2"/>
        <v>0.96</v>
      </c>
      <c r="S17" s="217"/>
      <c r="T17" s="49">
        <f t="shared" si="3"/>
        <v>0</v>
      </c>
      <c r="U17" s="217"/>
      <c r="V17" s="49">
        <f t="shared" si="4"/>
        <v>0</v>
      </c>
      <c r="W17" s="217"/>
      <c r="X17" s="49">
        <f t="shared" si="5"/>
        <v>0</v>
      </c>
      <c r="Y17" s="56">
        <f t="shared" si="6"/>
        <v>39</v>
      </c>
      <c r="Z17" s="49">
        <f t="shared" si="7"/>
        <v>2.34</v>
      </c>
      <c r="AA17" s="67">
        <f t="shared" si="8"/>
        <v>195</v>
      </c>
    </row>
    <row r="18" spans="1:27" ht="15">
      <c r="A18" s="52">
        <v>16</v>
      </c>
      <c r="B18" s="50" t="str">
        <f>'Меню март-май 2024'!P25</f>
        <v>Свекла (1 сорт)</v>
      </c>
      <c r="C18" s="51" t="str">
        <f>'Меню март-май 2024'!Q25</f>
        <v>кг</v>
      </c>
      <c r="D18" s="77">
        <f>'Меню март-май 2024'!R25</f>
        <v>51</v>
      </c>
      <c r="E18" s="217"/>
      <c r="F18" s="49">
        <f t="shared" si="0"/>
        <v>0</v>
      </c>
      <c r="G18" s="217"/>
      <c r="H18" s="49">
        <f t="shared" si="9"/>
        <v>0</v>
      </c>
      <c r="I18" s="217"/>
      <c r="J18" s="49">
        <f t="shared" si="10"/>
        <v>0</v>
      </c>
      <c r="K18" s="217">
        <v>17</v>
      </c>
      <c r="L18" s="49">
        <f t="shared" si="11"/>
        <v>0.87</v>
      </c>
      <c r="M18" s="223"/>
      <c r="N18" s="49">
        <f t="shared" si="12"/>
        <v>0</v>
      </c>
      <c r="O18" s="217"/>
      <c r="P18" s="49">
        <f t="shared" si="1"/>
        <v>0</v>
      </c>
      <c r="Q18" s="217">
        <v>72</v>
      </c>
      <c r="R18" s="49">
        <f t="shared" si="2"/>
        <v>3.67</v>
      </c>
      <c r="S18" s="217"/>
      <c r="T18" s="49">
        <f t="shared" si="3"/>
        <v>0</v>
      </c>
      <c r="U18" s="217"/>
      <c r="V18" s="49">
        <f t="shared" si="4"/>
        <v>0</v>
      </c>
      <c r="W18" s="217"/>
      <c r="X18" s="49">
        <f t="shared" si="5"/>
        <v>0</v>
      </c>
      <c r="Y18" s="56">
        <f t="shared" si="6"/>
        <v>89</v>
      </c>
      <c r="Z18" s="49">
        <f t="shared" si="7"/>
        <v>4.54</v>
      </c>
      <c r="AA18" s="67">
        <f t="shared" si="8"/>
        <v>445</v>
      </c>
    </row>
    <row r="19" spans="1:27" ht="30">
      <c r="A19" s="52">
        <v>17</v>
      </c>
      <c r="B19" s="50" t="str">
        <f>'Меню март-май 2024'!P26</f>
        <v>Огурцы консервированные без уксуса (1 с)</v>
      </c>
      <c r="C19" s="51" t="str">
        <f>'Меню март-май 2024'!Q26</f>
        <v>кг</v>
      </c>
      <c r="D19" s="77">
        <f>'Меню март-май 2024'!R26</f>
        <v>74</v>
      </c>
      <c r="E19" s="217"/>
      <c r="F19" s="49">
        <f t="shared" si="0"/>
        <v>0</v>
      </c>
      <c r="G19" s="217"/>
      <c r="H19" s="49">
        <f t="shared" si="9"/>
        <v>0</v>
      </c>
      <c r="I19" s="217"/>
      <c r="J19" s="49">
        <f t="shared" si="10"/>
        <v>0</v>
      </c>
      <c r="K19" s="217">
        <v>22</v>
      </c>
      <c r="L19" s="49">
        <f t="shared" si="11"/>
        <v>1.63</v>
      </c>
      <c r="M19" s="223"/>
      <c r="N19" s="49">
        <f t="shared" si="12"/>
        <v>0</v>
      </c>
      <c r="O19" s="217">
        <v>61</v>
      </c>
      <c r="P19" s="49">
        <f t="shared" si="1"/>
        <v>4.51</v>
      </c>
      <c r="Q19" s="217"/>
      <c r="R19" s="49">
        <f t="shared" si="2"/>
        <v>0</v>
      </c>
      <c r="S19" s="217"/>
      <c r="T19" s="49">
        <f t="shared" si="3"/>
        <v>0</v>
      </c>
      <c r="U19" s="217"/>
      <c r="V19" s="49">
        <f t="shared" si="4"/>
        <v>0</v>
      </c>
      <c r="W19" s="217"/>
      <c r="X19" s="49">
        <f t="shared" si="5"/>
        <v>0</v>
      </c>
      <c r="Y19" s="56">
        <f t="shared" si="6"/>
        <v>83</v>
      </c>
      <c r="Z19" s="49">
        <f t="shared" si="7"/>
        <v>6.14</v>
      </c>
      <c r="AA19" s="67">
        <f t="shared" si="8"/>
        <v>415</v>
      </c>
    </row>
    <row r="20" spans="1:27" ht="30">
      <c r="A20" s="52">
        <v>18</v>
      </c>
      <c r="B20" s="50" t="str">
        <f>'Меню март-май 2024'!P27</f>
        <v>Икра кабачковая для дет. питания</v>
      </c>
      <c r="C20" s="51" t="str">
        <f>'Меню март-май 2024'!Q27</f>
        <v>кг</v>
      </c>
      <c r="D20" s="77">
        <f>'Меню март-май 2024'!R27</f>
        <v>123</v>
      </c>
      <c r="E20" s="217"/>
      <c r="F20" s="49">
        <f t="shared" si="0"/>
        <v>0</v>
      </c>
      <c r="G20" s="217"/>
      <c r="H20" s="49">
        <f t="shared" si="9"/>
        <v>0</v>
      </c>
      <c r="I20" s="217">
        <v>100</v>
      </c>
      <c r="J20" s="49">
        <f t="shared" si="10"/>
        <v>12.3</v>
      </c>
      <c r="K20" s="217"/>
      <c r="L20" s="49">
        <f t="shared" si="11"/>
        <v>0</v>
      </c>
      <c r="M20" s="223"/>
      <c r="N20" s="49">
        <f t="shared" si="12"/>
        <v>0</v>
      </c>
      <c r="O20" s="217"/>
      <c r="P20" s="49">
        <f t="shared" si="1"/>
        <v>0</v>
      </c>
      <c r="Q20" s="217"/>
      <c r="R20" s="49">
        <f t="shared" si="2"/>
        <v>0</v>
      </c>
      <c r="S20" s="217"/>
      <c r="T20" s="49">
        <f t="shared" si="3"/>
        <v>0</v>
      </c>
      <c r="U20" s="217"/>
      <c r="V20" s="49">
        <f t="shared" si="4"/>
        <v>0</v>
      </c>
      <c r="W20" s="217"/>
      <c r="X20" s="49">
        <f t="shared" si="5"/>
        <v>0</v>
      </c>
      <c r="Y20" s="56">
        <f t="shared" si="6"/>
        <v>100</v>
      </c>
      <c r="Z20" s="49">
        <f t="shared" si="7"/>
        <v>12.3</v>
      </c>
      <c r="AA20" s="67">
        <f t="shared" si="8"/>
        <v>500</v>
      </c>
    </row>
    <row r="21" spans="1:27" ht="30">
      <c r="A21" s="52">
        <v>19</v>
      </c>
      <c r="B21" s="50" t="str">
        <f>'Меню март-май 2024'!P28</f>
        <v>Горошек зеленый (сорт салатный)</v>
      </c>
      <c r="C21" s="51" t="str">
        <f>'Меню март-май 2024'!Q28</f>
        <v>кг</v>
      </c>
      <c r="D21" s="77">
        <f>'Меню март-май 2024'!R28</f>
        <v>123</v>
      </c>
      <c r="E21" s="217"/>
      <c r="F21" s="49">
        <f t="shared" si="0"/>
        <v>0</v>
      </c>
      <c r="G21" s="217"/>
      <c r="H21" s="49">
        <f t="shared" si="9"/>
        <v>0</v>
      </c>
      <c r="I21" s="217"/>
      <c r="J21" s="49">
        <f t="shared" si="10"/>
        <v>0</v>
      </c>
      <c r="K21" s="217">
        <v>20</v>
      </c>
      <c r="L21" s="49">
        <f t="shared" si="11"/>
        <v>2.46</v>
      </c>
      <c r="M21" s="223"/>
      <c r="N21" s="49">
        <f t="shared" si="12"/>
        <v>0</v>
      </c>
      <c r="O21" s="217"/>
      <c r="P21" s="49">
        <f t="shared" si="1"/>
        <v>0</v>
      </c>
      <c r="Q21" s="217"/>
      <c r="R21" s="49">
        <f t="shared" si="2"/>
        <v>0</v>
      </c>
      <c r="S21" s="217"/>
      <c r="T21" s="49">
        <f t="shared" si="3"/>
        <v>0</v>
      </c>
      <c r="U21" s="217"/>
      <c r="V21" s="49">
        <f t="shared" si="4"/>
        <v>0</v>
      </c>
      <c r="W21" s="217">
        <v>41</v>
      </c>
      <c r="X21" s="49">
        <f t="shared" si="5"/>
        <v>5.04</v>
      </c>
      <c r="Y21" s="56">
        <f t="shared" si="6"/>
        <v>61</v>
      </c>
      <c r="Z21" s="49">
        <f t="shared" si="7"/>
        <v>7.5</v>
      </c>
      <c r="AA21" s="67">
        <f t="shared" si="8"/>
        <v>305</v>
      </c>
    </row>
    <row r="22" spans="1:27" ht="30">
      <c r="A22" s="52">
        <v>20</v>
      </c>
      <c r="B22" s="50" t="str">
        <f>'Меню март-май 2024'!P29</f>
        <v>Томатная паста с содержанием с/в (25-30%)</v>
      </c>
      <c r="C22" s="51" t="str">
        <f>'Меню март-май 2024'!Q29</f>
        <v>кг</v>
      </c>
      <c r="D22" s="77">
        <f>'Меню март-май 2024'!R29</f>
        <v>142</v>
      </c>
      <c r="E22" s="217"/>
      <c r="F22" s="49">
        <f t="shared" si="0"/>
        <v>0</v>
      </c>
      <c r="G22" s="217">
        <v>2</v>
      </c>
      <c r="H22" s="49">
        <f t="shared" si="9"/>
        <v>0.28</v>
      </c>
      <c r="I22" s="217">
        <v>6</v>
      </c>
      <c r="J22" s="49">
        <f t="shared" si="10"/>
        <v>0.85</v>
      </c>
      <c r="K22" s="217"/>
      <c r="L22" s="49">
        <f t="shared" si="11"/>
        <v>0</v>
      </c>
      <c r="M22" s="223"/>
      <c r="N22" s="49">
        <f t="shared" si="12"/>
        <v>0</v>
      </c>
      <c r="O22" s="217"/>
      <c r="P22" s="49">
        <f t="shared" si="1"/>
        <v>0</v>
      </c>
      <c r="Q22" s="217">
        <v>2</v>
      </c>
      <c r="R22" s="49">
        <f t="shared" si="2"/>
        <v>0.28</v>
      </c>
      <c r="S22" s="217"/>
      <c r="T22" s="49">
        <f t="shared" si="3"/>
        <v>0</v>
      </c>
      <c r="U22" s="217"/>
      <c r="V22" s="49">
        <f t="shared" si="4"/>
        <v>0</v>
      </c>
      <c r="W22" s="217"/>
      <c r="X22" s="49">
        <f t="shared" si="5"/>
        <v>0</v>
      </c>
      <c r="Y22" s="56">
        <f t="shared" si="6"/>
        <v>10</v>
      </c>
      <c r="Z22" s="49">
        <f t="shared" si="7"/>
        <v>1.42</v>
      </c>
      <c r="AA22" s="67">
        <f t="shared" si="8"/>
        <v>50</v>
      </c>
    </row>
    <row r="23" spans="1:27" ht="15">
      <c r="A23" s="52">
        <v>21</v>
      </c>
      <c r="B23" s="50" t="str">
        <f>'Меню март-май 2024'!P30</f>
        <v>Яблоки свежие (1 сорт)</v>
      </c>
      <c r="C23" s="51" t="str">
        <f>'Меню март-май 2024'!Q30</f>
        <v>кг</v>
      </c>
      <c r="D23" s="77">
        <f>'Меню март-май 2024'!R30</f>
        <v>110</v>
      </c>
      <c r="E23" s="217">
        <v>100</v>
      </c>
      <c r="F23" s="49">
        <f t="shared" si="0"/>
        <v>11</v>
      </c>
      <c r="G23" s="217"/>
      <c r="H23" s="49">
        <f t="shared" si="9"/>
        <v>0</v>
      </c>
      <c r="I23" s="217">
        <v>100</v>
      </c>
      <c r="J23" s="49">
        <f t="shared" si="10"/>
        <v>11</v>
      </c>
      <c r="K23" s="217"/>
      <c r="L23" s="49">
        <f t="shared" si="11"/>
        <v>0</v>
      </c>
      <c r="M23" s="223">
        <v>70</v>
      </c>
      <c r="N23" s="49">
        <f t="shared" si="12"/>
        <v>7.7</v>
      </c>
      <c r="O23" s="217">
        <v>70</v>
      </c>
      <c r="P23" s="49">
        <f t="shared" si="1"/>
        <v>7.7</v>
      </c>
      <c r="Q23" s="217"/>
      <c r="R23" s="49">
        <f t="shared" si="2"/>
        <v>0</v>
      </c>
      <c r="S23" s="217">
        <v>110</v>
      </c>
      <c r="T23" s="49">
        <f t="shared" si="3"/>
        <v>12.1</v>
      </c>
      <c r="U23" s="217"/>
      <c r="V23" s="49">
        <f t="shared" si="4"/>
        <v>0</v>
      </c>
      <c r="W23" s="217"/>
      <c r="X23" s="49">
        <f t="shared" si="5"/>
        <v>0</v>
      </c>
      <c r="Y23" s="56">
        <f t="shared" si="6"/>
        <v>450</v>
      </c>
      <c r="Z23" s="49">
        <f t="shared" si="7"/>
        <v>49.5</v>
      </c>
      <c r="AA23" s="67">
        <f t="shared" si="8"/>
        <v>2250</v>
      </c>
    </row>
    <row r="24" spans="1:27" ht="15">
      <c r="A24" s="52">
        <v>22</v>
      </c>
      <c r="B24" s="50" t="str">
        <f>'Меню март-май 2024'!P31</f>
        <v>Бананы свежие (1 сорт)</v>
      </c>
      <c r="C24" s="51" t="str">
        <f>'Меню март-май 2024'!Q31</f>
        <v>кг</v>
      </c>
      <c r="D24" s="77">
        <f>'Меню март-май 2024'!R31</f>
        <v>172</v>
      </c>
      <c r="E24" s="217"/>
      <c r="F24" s="49">
        <f t="shared" si="0"/>
        <v>0</v>
      </c>
      <c r="G24" s="217">
        <v>100</v>
      </c>
      <c r="H24" s="49">
        <f t="shared" si="9"/>
        <v>17.2</v>
      </c>
      <c r="I24" s="217"/>
      <c r="J24" s="49">
        <f t="shared" si="10"/>
        <v>0</v>
      </c>
      <c r="K24" s="217"/>
      <c r="L24" s="49">
        <f t="shared" si="11"/>
        <v>0</v>
      </c>
      <c r="M24" s="223"/>
      <c r="N24" s="49">
        <f t="shared" si="12"/>
        <v>0</v>
      </c>
      <c r="O24" s="217"/>
      <c r="P24" s="49">
        <f t="shared" si="1"/>
        <v>0</v>
      </c>
      <c r="Q24" s="217">
        <v>90</v>
      </c>
      <c r="R24" s="49">
        <f t="shared" si="2"/>
        <v>15.48</v>
      </c>
      <c r="S24" s="217"/>
      <c r="T24" s="49">
        <f t="shared" si="3"/>
        <v>0</v>
      </c>
      <c r="U24" s="217"/>
      <c r="V24" s="49">
        <f t="shared" si="4"/>
        <v>0</v>
      </c>
      <c r="W24" s="217"/>
      <c r="X24" s="49">
        <f t="shared" si="5"/>
        <v>0</v>
      </c>
      <c r="Y24" s="56">
        <f t="shared" si="6"/>
        <v>190</v>
      </c>
      <c r="Z24" s="49">
        <f t="shared" si="7"/>
        <v>32.68</v>
      </c>
      <c r="AA24" s="67">
        <f t="shared" si="8"/>
        <v>950</v>
      </c>
    </row>
    <row r="25" spans="1:27" ht="15">
      <c r="A25" s="52">
        <v>23</v>
      </c>
      <c r="B25" s="50" t="str">
        <f>'Меню март-май 2024'!P32</f>
        <v>Сухофрукты ассорти</v>
      </c>
      <c r="C25" s="51" t="str">
        <f>'Меню март-май 2024'!Q32</f>
        <v>кг</v>
      </c>
      <c r="D25" s="77">
        <f>'Меню март-май 2024'!R32</f>
        <v>140</v>
      </c>
      <c r="E25" s="217"/>
      <c r="F25" s="49">
        <f t="shared" si="0"/>
        <v>0</v>
      </c>
      <c r="G25" s="217"/>
      <c r="H25" s="49">
        <f t="shared" si="9"/>
        <v>0</v>
      </c>
      <c r="I25" s="217"/>
      <c r="J25" s="49">
        <f t="shared" si="10"/>
        <v>0</v>
      </c>
      <c r="K25" s="217"/>
      <c r="L25" s="49">
        <f t="shared" si="11"/>
        <v>0</v>
      </c>
      <c r="M25" s="223"/>
      <c r="N25" s="49">
        <f t="shared" si="12"/>
        <v>0</v>
      </c>
      <c r="O25" s="217"/>
      <c r="P25" s="49">
        <f t="shared" si="1"/>
        <v>0</v>
      </c>
      <c r="Q25" s="217"/>
      <c r="R25" s="49">
        <f t="shared" si="2"/>
        <v>0</v>
      </c>
      <c r="S25" s="217"/>
      <c r="T25" s="49">
        <f t="shared" si="3"/>
        <v>0</v>
      </c>
      <c r="U25" s="217"/>
      <c r="V25" s="49">
        <f t="shared" si="4"/>
        <v>0</v>
      </c>
      <c r="W25" s="217"/>
      <c r="X25" s="49">
        <f t="shared" si="5"/>
        <v>0</v>
      </c>
      <c r="Y25" s="56">
        <f t="shared" si="6"/>
        <v>0</v>
      </c>
      <c r="Z25" s="49">
        <f t="shared" si="7"/>
        <v>0</v>
      </c>
      <c r="AA25" s="67">
        <f t="shared" si="8"/>
        <v>0</v>
      </c>
    </row>
    <row r="26" spans="1:27" ht="15">
      <c r="A26" s="52">
        <v>24</v>
      </c>
      <c r="B26" s="50" t="str">
        <f>'Меню март-май 2024'!P33</f>
        <v>Изюм</v>
      </c>
      <c r="C26" s="51" t="str">
        <f>'Меню март-май 2024'!Q33</f>
        <v>кг</v>
      </c>
      <c r="D26" s="77">
        <f>'Меню март-май 2024'!R33</f>
        <v>293</v>
      </c>
      <c r="E26" s="217"/>
      <c r="F26" s="49">
        <f t="shared" si="0"/>
        <v>0</v>
      </c>
      <c r="G26" s="217"/>
      <c r="H26" s="49">
        <f t="shared" si="9"/>
        <v>0</v>
      </c>
      <c r="I26" s="217"/>
      <c r="J26" s="49">
        <f t="shared" si="10"/>
        <v>0</v>
      </c>
      <c r="K26" s="217"/>
      <c r="L26" s="49">
        <f t="shared" si="11"/>
        <v>0</v>
      </c>
      <c r="M26" s="223"/>
      <c r="N26" s="49">
        <f t="shared" si="12"/>
        <v>0</v>
      </c>
      <c r="O26" s="217"/>
      <c r="P26" s="49">
        <f t="shared" si="1"/>
        <v>0</v>
      </c>
      <c r="Q26" s="217"/>
      <c r="R26" s="49">
        <f t="shared" si="2"/>
        <v>0</v>
      </c>
      <c r="S26" s="217"/>
      <c r="T26" s="49">
        <f t="shared" si="3"/>
        <v>0</v>
      </c>
      <c r="U26" s="217"/>
      <c r="V26" s="49">
        <f t="shared" si="4"/>
        <v>0</v>
      </c>
      <c r="W26" s="217"/>
      <c r="X26" s="49">
        <f t="shared" si="5"/>
        <v>0</v>
      </c>
      <c r="Y26" s="56">
        <f t="shared" si="6"/>
        <v>0</v>
      </c>
      <c r="Z26" s="49">
        <f t="shared" si="7"/>
        <v>0</v>
      </c>
      <c r="AA26" s="67">
        <f t="shared" si="8"/>
        <v>0</v>
      </c>
    </row>
    <row r="27" spans="1:27" ht="15">
      <c r="A27" s="52">
        <v>25</v>
      </c>
      <c r="B27" s="50" t="str">
        <f>'Меню март-май 2024'!P34</f>
        <v>Повидло фруктовое (1 сорт)</v>
      </c>
      <c r="C27" s="51" t="str">
        <f>'Меню март-май 2024'!Q34</f>
        <v>кг</v>
      </c>
      <c r="D27" s="77">
        <f>'Меню март-май 2024'!R34</f>
        <v>147</v>
      </c>
      <c r="E27" s="217"/>
      <c r="F27" s="49">
        <f t="shared" si="0"/>
        <v>0</v>
      </c>
      <c r="G27" s="217"/>
      <c r="H27" s="49">
        <f t="shared" si="9"/>
        <v>0</v>
      </c>
      <c r="I27" s="217"/>
      <c r="J27" s="49">
        <f t="shared" si="10"/>
        <v>0</v>
      </c>
      <c r="K27" s="217"/>
      <c r="L27" s="49">
        <f t="shared" si="11"/>
        <v>0</v>
      </c>
      <c r="M27" s="223"/>
      <c r="N27" s="49">
        <f t="shared" si="12"/>
        <v>0</v>
      </c>
      <c r="O27" s="217"/>
      <c r="P27" s="49">
        <f t="shared" si="1"/>
        <v>0</v>
      </c>
      <c r="Q27" s="217"/>
      <c r="R27" s="49">
        <f t="shared" si="2"/>
        <v>0</v>
      </c>
      <c r="S27" s="217"/>
      <c r="T27" s="49">
        <f t="shared" si="3"/>
        <v>0</v>
      </c>
      <c r="U27" s="217"/>
      <c r="V27" s="49">
        <f t="shared" si="4"/>
        <v>0</v>
      </c>
      <c r="W27" s="217"/>
      <c r="X27" s="49">
        <f t="shared" si="5"/>
        <v>0</v>
      </c>
      <c r="Y27" s="56">
        <f t="shared" si="6"/>
        <v>0</v>
      </c>
      <c r="Z27" s="49">
        <f t="shared" si="7"/>
        <v>0</v>
      </c>
      <c r="AA27" s="67">
        <f t="shared" si="8"/>
        <v>0</v>
      </c>
    </row>
    <row r="28" spans="1:27" ht="15">
      <c r="A28" s="52">
        <v>26</v>
      </c>
      <c r="B28" s="50" t="str">
        <f>'Меню март-май 2024'!P35</f>
        <v>Сок фруктовый (1 литр)</v>
      </c>
      <c r="C28" s="51" t="str">
        <f>'Меню март-май 2024'!Q35</f>
        <v>л</v>
      </c>
      <c r="D28" s="77">
        <f>'Меню март-май 2024'!R35</f>
        <v>62</v>
      </c>
      <c r="E28" s="217"/>
      <c r="F28" s="49">
        <f t="shared" si="0"/>
        <v>0</v>
      </c>
      <c r="G28" s="217"/>
      <c r="H28" s="49">
        <f t="shared" si="9"/>
        <v>0</v>
      </c>
      <c r="I28" s="217"/>
      <c r="J28" s="49">
        <f t="shared" si="10"/>
        <v>0</v>
      </c>
      <c r="K28" s="217">
        <v>200</v>
      </c>
      <c r="L28" s="49">
        <f t="shared" si="11"/>
        <v>12.4</v>
      </c>
      <c r="M28" s="223"/>
      <c r="N28" s="49">
        <f t="shared" si="12"/>
        <v>0</v>
      </c>
      <c r="O28" s="217"/>
      <c r="P28" s="49">
        <f t="shared" si="1"/>
        <v>0</v>
      </c>
      <c r="Q28" s="217"/>
      <c r="R28" s="49">
        <f t="shared" si="2"/>
        <v>0</v>
      </c>
      <c r="S28" s="217"/>
      <c r="T28" s="49">
        <f t="shared" si="3"/>
        <v>0</v>
      </c>
      <c r="U28" s="217"/>
      <c r="V28" s="49">
        <f t="shared" si="4"/>
        <v>0</v>
      </c>
      <c r="W28" s="217"/>
      <c r="X28" s="49">
        <f t="shared" si="5"/>
        <v>0</v>
      </c>
      <c r="Y28" s="56">
        <f t="shared" si="6"/>
        <v>200</v>
      </c>
      <c r="Z28" s="49">
        <f t="shared" si="7"/>
        <v>12.4</v>
      </c>
      <c r="AA28" s="67">
        <f t="shared" si="8"/>
        <v>1000</v>
      </c>
    </row>
    <row r="29" spans="1:27" ht="30">
      <c r="A29" s="52">
        <v>27</v>
      </c>
      <c r="B29" s="50" t="str">
        <f>'Меню март-май 2024'!P36</f>
        <v>Масло растительное, рафинированное</v>
      </c>
      <c r="C29" s="51" t="str">
        <f>'Меню март-май 2024'!Q36</f>
        <v>кг</v>
      </c>
      <c r="D29" s="77">
        <f>'Меню март-май 2024'!R36</f>
        <v>145</v>
      </c>
      <c r="E29" s="217">
        <v>6</v>
      </c>
      <c r="F29" s="49">
        <f t="shared" si="0"/>
        <v>0.87</v>
      </c>
      <c r="G29" s="217"/>
      <c r="H29" s="49">
        <f t="shared" si="9"/>
        <v>0</v>
      </c>
      <c r="I29" s="217">
        <v>4</v>
      </c>
      <c r="J29" s="49">
        <f t="shared" si="10"/>
        <v>0.58</v>
      </c>
      <c r="K29" s="217">
        <f>6+5+4</f>
        <v>15</v>
      </c>
      <c r="L29" s="49">
        <f t="shared" si="11"/>
        <v>2.18</v>
      </c>
      <c r="M29" s="223">
        <f>5+4+3</f>
        <v>12</v>
      </c>
      <c r="N29" s="49">
        <f t="shared" si="12"/>
        <v>1.74</v>
      </c>
      <c r="O29" s="217">
        <f>4+3</f>
        <v>7</v>
      </c>
      <c r="P29" s="49">
        <f t="shared" si="1"/>
        <v>1.02</v>
      </c>
      <c r="Q29" s="217">
        <f>10+4</f>
        <v>14</v>
      </c>
      <c r="R29" s="49">
        <f t="shared" si="2"/>
        <v>2.03</v>
      </c>
      <c r="S29" s="217">
        <v>12</v>
      </c>
      <c r="T29" s="49">
        <f t="shared" si="3"/>
        <v>1.74</v>
      </c>
      <c r="U29" s="217"/>
      <c r="V29" s="49">
        <f t="shared" si="4"/>
        <v>0</v>
      </c>
      <c r="W29" s="217">
        <v>2</v>
      </c>
      <c r="X29" s="49">
        <f t="shared" si="5"/>
        <v>0.29</v>
      </c>
      <c r="Y29" s="56">
        <f t="shared" si="6"/>
        <v>72</v>
      </c>
      <c r="Z29" s="49">
        <f t="shared" si="7"/>
        <v>10.44</v>
      </c>
      <c r="AA29" s="67">
        <f t="shared" si="8"/>
        <v>360</v>
      </c>
    </row>
    <row r="30" spans="1:27" ht="15">
      <c r="A30" s="52">
        <v>28</v>
      </c>
      <c r="B30" s="50" t="str">
        <f>'Меню март-май 2024'!P37</f>
        <v>Рыба с/м (1 сорт), минтай</v>
      </c>
      <c r="C30" s="51" t="str">
        <f>'Меню март-май 2024'!Q37</f>
        <v>кг</v>
      </c>
      <c r="D30" s="77">
        <f>'Меню март-май 2024'!R37</f>
        <v>210</v>
      </c>
      <c r="E30" s="217"/>
      <c r="F30" s="49">
        <f t="shared" si="0"/>
        <v>0</v>
      </c>
      <c r="G30" s="217"/>
      <c r="H30" s="49">
        <f t="shared" si="9"/>
        <v>0</v>
      </c>
      <c r="I30" s="217"/>
      <c r="J30" s="49">
        <f t="shared" si="10"/>
        <v>0</v>
      </c>
      <c r="K30" s="217">
        <v>91</v>
      </c>
      <c r="L30" s="49">
        <f t="shared" si="11"/>
        <v>19.11</v>
      </c>
      <c r="M30" s="223"/>
      <c r="N30" s="49">
        <f t="shared" si="12"/>
        <v>0</v>
      </c>
      <c r="O30" s="217"/>
      <c r="P30" s="49">
        <f t="shared" si="1"/>
        <v>0</v>
      </c>
      <c r="Q30" s="217"/>
      <c r="R30" s="49">
        <f t="shared" si="2"/>
        <v>0</v>
      </c>
      <c r="S30" s="217">
        <v>155</v>
      </c>
      <c r="T30" s="49">
        <f t="shared" si="3"/>
        <v>32.55</v>
      </c>
      <c r="U30" s="217"/>
      <c r="V30" s="49">
        <f t="shared" si="4"/>
        <v>0</v>
      </c>
      <c r="W30" s="217"/>
      <c r="X30" s="49">
        <f t="shared" si="5"/>
        <v>0</v>
      </c>
      <c r="Y30" s="56">
        <f t="shared" si="6"/>
        <v>246</v>
      </c>
      <c r="Z30" s="49">
        <f t="shared" si="7"/>
        <v>51.66</v>
      </c>
      <c r="AA30" s="67">
        <f t="shared" si="8"/>
        <v>1230</v>
      </c>
    </row>
    <row r="31" spans="1:27" ht="15">
      <c r="A31" s="52">
        <v>29</v>
      </c>
      <c r="B31" s="50">
        <f>'Меню март-май 2024'!P38</f>
        <v>0</v>
      </c>
      <c r="C31" s="51">
        <f>'Меню март-май 2024'!Q38</f>
        <v>0</v>
      </c>
      <c r="D31" s="77">
        <f>'Меню март-май 2024'!R38</f>
        <v>0</v>
      </c>
      <c r="E31" s="217"/>
      <c r="F31" s="49">
        <f t="shared" si="0"/>
        <v>0</v>
      </c>
      <c r="G31" s="217"/>
      <c r="H31" s="49">
        <f t="shared" si="9"/>
        <v>0</v>
      </c>
      <c r="I31" s="217"/>
      <c r="J31" s="49">
        <f t="shared" si="10"/>
        <v>0</v>
      </c>
      <c r="K31" s="217"/>
      <c r="L31" s="49">
        <f t="shared" si="11"/>
        <v>0</v>
      </c>
      <c r="M31" s="223"/>
      <c r="N31" s="49">
        <f t="shared" si="12"/>
        <v>0</v>
      </c>
      <c r="O31" s="217"/>
      <c r="P31" s="49">
        <f t="shared" si="1"/>
        <v>0</v>
      </c>
      <c r="Q31" s="217"/>
      <c r="R31" s="49">
        <f t="shared" si="2"/>
        <v>0</v>
      </c>
      <c r="S31" s="217"/>
      <c r="T31" s="49">
        <f t="shared" si="3"/>
        <v>0</v>
      </c>
      <c r="U31" s="217"/>
      <c r="V31" s="49">
        <f t="shared" si="4"/>
        <v>0</v>
      </c>
      <c r="W31" s="217"/>
      <c r="X31" s="49">
        <f t="shared" si="5"/>
        <v>0</v>
      </c>
      <c r="Y31" s="56">
        <f t="shared" si="6"/>
        <v>0</v>
      </c>
      <c r="Z31" s="49">
        <f t="shared" si="7"/>
        <v>0</v>
      </c>
      <c r="AA31" s="67">
        <f t="shared" si="8"/>
        <v>0</v>
      </c>
    </row>
    <row r="32" spans="1:27" ht="15">
      <c r="A32" s="52">
        <v>30</v>
      </c>
      <c r="B32" s="50" t="str">
        <f>'Меню март-май 2024'!P39</f>
        <v>Мука пшеничная (высший сорт)</v>
      </c>
      <c r="C32" s="51" t="str">
        <f>'Меню март-май 2024'!Q39</f>
        <v>кг</v>
      </c>
      <c r="D32" s="77">
        <f>'Меню март-май 2024'!R39</f>
        <v>40</v>
      </c>
      <c r="E32" s="217">
        <v>74</v>
      </c>
      <c r="F32" s="49">
        <f t="shared" si="0"/>
        <v>2.96</v>
      </c>
      <c r="G32" s="217">
        <v>3</v>
      </c>
      <c r="H32" s="49">
        <f t="shared" si="9"/>
        <v>0.12</v>
      </c>
      <c r="I32" s="217">
        <v>79</v>
      </c>
      <c r="J32" s="49">
        <f t="shared" si="10"/>
        <v>3.16</v>
      </c>
      <c r="K32" s="217"/>
      <c r="L32" s="49">
        <f t="shared" si="11"/>
        <v>0</v>
      </c>
      <c r="M32" s="223">
        <f>63+7</f>
        <v>70</v>
      </c>
      <c r="N32" s="49">
        <f t="shared" si="12"/>
        <v>2.8</v>
      </c>
      <c r="O32" s="217"/>
      <c r="P32" s="49">
        <f t="shared" si="1"/>
        <v>0</v>
      </c>
      <c r="Q32" s="217"/>
      <c r="R32" s="49">
        <f t="shared" si="2"/>
        <v>0</v>
      </c>
      <c r="S32" s="217">
        <v>11</v>
      </c>
      <c r="T32" s="49">
        <f t="shared" si="3"/>
        <v>0.44</v>
      </c>
      <c r="U32" s="217">
        <v>24</v>
      </c>
      <c r="V32" s="49">
        <f t="shared" si="4"/>
        <v>0.96</v>
      </c>
      <c r="W32" s="217">
        <v>6</v>
      </c>
      <c r="X32" s="49">
        <f t="shared" si="5"/>
        <v>0.24</v>
      </c>
      <c r="Y32" s="56">
        <f t="shared" si="6"/>
        <v>267</v>
      </c>
      <c r="Z32" s="49">
        <f t="shared" si="7"/>
        <v>10.68</v>
      </c>
      <c r="AA32" s="67">
        <f t="shared" si="8"/>
        <v>1335</v>
      </c>
    </row>
    <row r="33" spans="1:27" ht="15">
      <c r="A33" s="52">
        <v>31</v>
      </c>
      <c r="B33" s="50" t="str">
        <f>'Меню март-май 2024'!P40</f>
        <v>Крупа гречневая, в инд. уп.</v>
      </c>
      <c r="C33" s="51" t="str">
        <f>'Меню март-май 2024'!Q40</f>
        <v>кг</v>
      </c>
      <c r="D33" s="77">
        <f>'Меню март-май 2024'!R40</f>
        <v>85</v>
      </c>
      <c r="E33" s="217"/>
      <c r="F33" s="49">
        <f t="shared" si="0"/>
        <v>0</v>
      </c>
      <c r="G33" s="217"/>
      <c r="H33" s="49">
        <f t="shared" si="9"/>
        <v>0</v>
      </c>
      <c r="I33" s="217"/>
      <c r="J33" s="49">
        <f t="shared" si="10"/>
        <v>0</v>
      </c>
      <c r="K33" s="217"/>
      <c r="L33" s="49">
        <f t="shared" si="11"/>
        <v>0</v>
      </c>
      <c r="M33" s="223">
        <v>50</v>
      </c>
      <c r="N33" s="49">
        <f t="shared" si="12"/>
        <v>4.25</v>
      </c>
      <c r="O33" s="217"/>
      <c r="P33" s="49">
        <f t="shared" si="1"/>
        <v>0</v>
      </c>
      <c r="Q33" s="217"/>
      <c r="R33" s="49">
        <f t="shared" si="2"/>
        <v>0</v>
      </c>
      <c r="S33" s="217"/>
      <c r="T33" s="49">
        <f t="shared" si="3"/>
        <v>0</v>
      </c>
      <c r="U33" s="217"/>
      <c r="V33" s="49">
        <f t="shared" si="4"/>
        <v>0</v>
      </c>
      <c r="W33" s="217"/>
      <c r="X33" s="49">
        <f t="shared" si="5"/>
        <v>0</v>
      </c>
      <c r="Y33" s="56">
        <f t="shared" si="6"/>
        <v>50</v>
      </c>
      <c r="Z33" s="49">
        <f t="shared" si="7"/>
        <v>4.25</v>
      </c>
      <c r="AA33" s="67">
        <f t="shared" si="8"/>
        <v>250</v>
      </c>
    </row>
    <row r="34" spans="1:27" ht="15" customHeight="1">
      <c r="A34" s="52">
        <v>32</v>
      </c>
      <c r="B34" s="50" t="str">
        <f>'Меню март-май 2024'!P42</f>
        <v>Крупа манная (1 сорт), в инд. уп.</v>
      </c>
      <c r="C34" s="51" t="str">
        <f>'Меню март-май 2024'!Q42</f>
        <v>кг</v>
      </c>
      <c r="D34" s="77">
        <f>'Меню март-май 2024'!R42</f>
        <v>58</v>
      </c>
      <c r="E34" s="217"/>
      <c r="F34" s="49">
        <f t="shared" si="0"/>
        <v>0</v>
      </c>
      <c r="G34" s="217"/>
      <c r="H34" s="49">
        <f t="shared" si="9"/>
        <v>0</v>
      </c>
      <c r="I34" s="217"/>
      <c r="J34" s="49">
        <f t="shared" si="10"/>
        <v>0</v>
      </c>
      <c r="K34" s="217"/>
      <c r="L34" s="49">
        <f t="shared" si="11"/>
        <v>0</v>
      </c>
      <c r="M34" s="223"/>
      <c r="N34" s="49">
        <f t="shared" si="12"/>
        <v>0</v>
      </c>
      <c r="O34" s="217"/>
      <c r="P34" s="49">
        <f t="shared" si="1"/>
        <v>0</v>
      </c>
      <c r="Q34" s="217"/>
      <c r="R34" s="49">
        <f t="shared" si="2"/>
        <v>0</v>
      </c>
      <c r="S34" s="217"/>
      <c r="T34" s="49">
        <f t="shared" si="3"/>
        <v>0</v>
      </c>
      <c r="U34" s="217"/>
      <c r="V34" s="49">
        <f t="shared" si="4"/>
        <v>0</v>
      </c>
      <c r="W34" s="217"/>
      <c r="X34" s="49">
        <f t="shared" si="5"/>
        <v>0</v>
      </c>
      <c r="Y34" s="56">
        <f t="shared" si="6"/>
        <v>0</v>
      </c>
      <c r="Z34" s="49">
        <f t="shared" si="7"/>
        <v>0</v>
      </c>
      <c r="AA34" s="67">
        <f t="shared" si="8"/>
        <v>0</v>
      </c>
    </row>
    <row r="35" spans="1:27" ht="15">
      <c r="A35" s="52">
        <v>33</v>
      </c>
      <c r="B35" s="50" t="str">
        <f>'Меню март-май 2024'!P43</f>
        <v>Рис (1 сорт), в инд. уп.</v>
      </c>
      <c r="C35" s="51" t="str">
        <f>'Меню март-май 2024'!Q43</f>
        <v>кг</v>
      </c>
      <c r="D35" s="77">
        <f>'Меню март-май 2024'!R43</f>
        <v>116</v>
      </c>
      <c r="E35" s="217"/>
      <c r="F35" s="49">
        <f t="shared" si="0"/>
        <v>0</v>
      </c>
      <c r="G35" s="217"/>
      <c r="H35" s="49">
        <f t="shared" si="9"/>
        <v>0</v>
      </c>
      <c r="I35" s="217"/>
      <c r="J35" s="49">
        <f t="shared" si="10"/>
        <v>0</v>
      </c>
      <c r="K35" s="217"/>
      <c r="L35" s="49">
        <f t="shared" si="11"/>
        <v>0</v>
      </c>
      <c r="M35" s="223"/>
      <c r="N35" s="49">
        <f t="shared" si="12"/>
        <v>0</v>
      </c>
      <c r="O35" s="217"/>
      <c r="P35" s="49">
        <f t="shared" si="1"/>
        <v>0</v>
      </c>
      <c r="Q35" s="217">
        <v>54</v>
      </c>
      <c r="R35" s="49">
        <f t="shared" si="2"/>
        <v>6.26</v>
      </c>
      <c r="S35" s="217"/>
      <c r="T35" s="49">
        <f t="shared" si="3"/>
        <v>0</v>
      </c>
      <c r="U35" s="217"/>
      <c r="V35" s="49">
        <f t="shared" si="4"/>
        <v>0</v>
      </c>
      <c r="W35" s="217"/>
      <c r="X35" s="49">
        <f t="shared" si="5"/>
        <v>0</v>
      </c>
      <c r="Y35" s="56">
        <f t="shared" si="6"/>
        <v>54</v>
      </c>
      <c r="Z35" s="49">
        <f t="shared" si="7"/>
        <v>6.26</v>
      </c>
      <c r="AA35" s="67">
        <f t="shared" si="8"/>
        <v>270</v>
      </c>
    </row>
    <row r="36" spans="1:27" ht="30">
      <c r="A36" s="52">
        <v>34</v>
      </c>
      <c r="B36" s="50" t="str">
        <f>'Меню март-май 2024'!P44</f>
        <v>Крупа пшеничная (1 сорт), в инд. уп.</v>
      </c>
      <c r="C36" s="51" t="str">
        <f>'Меню март-май 2024'!Q44</f>
        <v>кг</v>
      </c>
      <c r="D36" s="77">
        <f>'Меню март-май 2024'!R44</f>
        <v>58</v>
      </c>
      <c r="E36" s="217"/>
      <c r="F36" s="49">
        <f t="shared" si="0"/>
        <v>0</v>
      </c>
      <c r="G36" s="217"/>
      <c r="H36" s="49">
        <f t="shared" si="9"/>
        <v>0</v>
      </c>
      <c r="I36" s="217"/>
      <c r="J36" s="49">
        <f t="shared" si="10"/>
        <v>0</v>
      </c>
      <c r="K36" s="217"/>
      <c r="L36" s="49">
        <f t="shared" si="11"/>
        <v>0</v>
      </c>
      <c r="M36" s="223"/>
      <c r="N36" s="49">
        <f t="shared" si="12"/>
        <v>0</v>
      </c>
      <c r="O36" s="217"/>
      <c r="P36" s="49">
        <f t="shared" si="1"/>
        <v>0</v>
      </c>
      <c r="Q36" s="217"/>
      <c r="R36" s="49">
        <f t="shared" si="2"/>
        <v>0</v>
      </c>
      <c r="S36" s="217"/>
      <c r="T36" s="49">
        <f t="shared" si="3"/>
        <v>0</v>
      </c>
      <c r="U36" s="217"/>
      <c r="V36" s="49">
        <f t="shared" si="4"/>
        <v>0</v>
      </c>
      <c r="W36" s="217">
        <v>36</v>
      </c>
      <c r="X36" s="49">
        <f t="shared" si="5"/>
        <v>2.09</v>
      </c>
      <c r="Y36" s="56">
        <f t="shared" si="6"/>
        <v>36</v>
      </c>
      <c r="Z36" s="49">
        <f aca="true" t="shared" si="13" ref="Z36:Z58">Y36*D36/1000</f>
        <v>2.09</v>
      </c>
      <c r="AA36" s="67">
        <f t="shared" si="8"/>
        <v>180</v>
      </c>
    </row>
    <row r="37" spans="1:27" ht="15">
      <c r="A37" s="52">
        <v>35</v>
      </c>
      <c r="B37" s="50" t="str">
        <f>'Меню март-май 2024'!P45</f>
        <v>Пшено (1 сорт), в инд. уп.</v>
      </c>
      <c r="C37" s="51" t="str">
        <f>'Меню март-май 2024'!Q45</f>
        <v>кг</v>
      </c>
      <c r="D37" s="77">
        <f>'Меню март-май 2024'!R45</f>
        <v>57</v>
      </c>
      <c r="E37" s="217"/>
      <c r="F37" s="49">
        <f t="shared" si="0"/>
        <v>0</v>
      </c>
      <c r="G37" s="217">
        <v>54</v>
      </c>
      <c r="H37" s="49">
        <f t="shared" si="9"/>
        <v>3.08</v>
      </c>
      <c r="I37" s="217"/>
      <c r="J37" s="49">
        <f t="shared" si="10"/>
        <v>0</v>
      </c>
      <c r="K37" s="217"/>
      <c r="L37" s="49">
        <f t="shared" si="11"/>
        <v>0</v>
      </c>
      <c r="M37" s="223"/>
      <c r="N37" s="49">
        <f t="shared" si="12"/>
        <v>0</v>
      </c>
      <c r="O37" s="217"/>
      <c r="P37" s="49">
        <f t="shared" si="1"/>
        <v>0</v>
      </c>
      <c r="Q37" s="217"/>
      <c r="R37" s="49">
        <f t="shared" si="2"/>
        <v>0</v>
      </c>
      <c r="S37" s="217"/>
      <c r="T37" s="49">
        <f t="shared" si="3"/>
        <v>0</v>
      </c>
      <c r="U37" s="217"/>
      <c r="V37" s="49">
        <f t="shared" si="4"/>
        <v>0</v>
      </c>
      <c r="W37" s="217"/>
      <c r="X37" s="49">
        <f t="shared" si="5"/>
        <v>0</v>
      </c>
      <c r="Y37" s="56">
        <f t="shared" si="6"/>
        <v>54</v>
      </c>
      <c r="Z37" s="49">
        <f t="shared" si="13"/>
        <v>3.08</v>
      </c>
      <c r="AA37" s="67">
        <f t="shared" si="8"/>
        <v>270</v>
      </c>
    </row>
    <row r="38" spans="1:27" ht="15">
      <c r="A38" s="52">
        <v>36</v>
      </c>
      <c r="B38" s="50" t="str">
        <f>'Меню март-май 2024'!P46</f>
        <v>Горох шлифованный, в инд. уп.</v>
      </c>
      <c r="C38" s="51" t="str">
        <f>'Меню март-май 2024'!Q46</f>
        <v>кг</v>
      </c>
      <c r="D38" s="77">
        <f>'Меню март-май 2024'!R46</f>
        <v>54</v>
      </c>
      <c r="E38" s="217"/>
      <c r="F38" s="49">
        <f t="shared" si="0"/>
        <v>0</v>
      </c>
      <c r="G38" s="217"/>
      <c r="H38" s="49">
        <f t="shared" si="9"/>
        <v>0</v>
      </c>
      <c r="I38" s="217"/>
      <c r="J38" s="49">
        <f t="shared" si="10"/>
        <v>0</v>
      </c>
      <c r="K38" s="217"/>
      <c r="L38" s="49">
        <f t="shared" si="11"/>
        <v>0</v>
      </c>
      <c r="M38" s="223"/>
      <c r="N38" s="49">
        <f t="shared" si="12"/>
        <v>0</v>
      </c>
      <c r="O38" s="217"/>
      <c r="P38" s="49">
        <f t="shared" si="1"/>
        <v>0</v>
      </c>
      <c r="Q38" s="217"/>
      <c r="R38" s="49">
        <f t="shared" si="2"/>
        <v>0</v>
      </c>
      <c r="S38" s="217"/>
      <c r="T38" s="49">
        <f t="shared" si="3"/>
        <v>0</v>
      </c>
      <c r="U38" s="217"/>
      <c r="V38" s="49">
        <f t="shared" si="4"/>
        <v>0</v>
      </c>
      <c r="W38" s="217"/>
      <c r="X38" s="49">
        <f t="shared" si="5"/>
        <v>0</v>
      </c>
      <c r="Y38" s="56">
        <f t="shared" si="6"/>
        <v>0</v>
      </c>
      <c r="Z38" s="49">
        <f t="shared" si="13"/>
        <v>0</v>
      </c>
      <c r="AA38" s="67">
        <f t="shared" si="8"/>
        <v>0</v>
      </c>
    </row>
    <row r="39" spans="1:27" ht="15">
      <c r="A39" s="52">
        <v>37</v>
      </c>
      <c r="B39" s="50" t="str">
        <f>'Меню март-май 2024'!P47</f>
        <v>Крупа перловая, в инд. уп.</v>
      </c>
      <c r="C39" s="51" t="str">
        <f>'Меню март-май 2024'!Q47</f>
        <v>кг</v>
      </c>
      <c r="D39" s="77">
        <f>'Меню март-май 2024'!R47</f>
        <v>48</v>
      </c>
      <c r="E39" s="217"/>
      <c r="F39" s="49">
        <f t="shared" si="0"/>
        <v>0</v>
      </c>
      <c r="G39" s="217"/>
      <c r="H39" s="49">
        <f t="shared" si="9"/>
        <v>0</v>
      </c>
      <c r="I39" s="217"/>
      <c r="J39" s="49">
        <f t="shared" si="10"/>
        <v>0</v>
      </c>
      <c r="K39" s="217"/>
      <c r="L39" s="49">
        <f t="shared" si="11"/>
        <v>0</v>
      </c>
      <c r="M39" s="223"/>
      <c r="N39" s="49">
        <f t="shared" si="12"/>
        <v>0</v>
      </c>
      <c r="O39" s="217"/>
      <c r="P39" s="49">
        <f t="shared" si="1"/>
        <v>0</v>
      </c>
      <c r="Q39" s="217"/>
      <c r="R39" s="49">
        <f t="shared" si="2"/>
        <v>0</v>
      </c>
      <c r="S39" s="217"/>
      <c r="T39" s="49">
        <f t="shared" si="3"/>
        <v>0</v>
      </c>
      <c r="U39" s="217"/>
      <c r="V39" s="49">
        <f t="shared" si="4"/>
        <v>0</v>
      </c>
      <c r="W39" s="217"/>
      <c r="X39" s="49">
        <f t="shared" si="5"/>
        <v>0</v>
      </c>
      <c r="Y39" s="56">
        <f t="shared" si="6"/>
        <v>0</v>
      </c>
      <c r="Z39" s="49">
        <f t="shared" si="13"/>
        <v>0</v>
      </c>
      <c r="AA39" s="67">
        <f t="shared" si="8"/>
        <v>0</v>
      </c>
    </row>
    <row r="40" spans="1:27" ht="15">
      <c r="A40" s="52">
        <v>38</v>
      </c>
      <c r="B40" s="50" t="str">
        <f>'Меню март-май 2024'!P48</f>
        <v>Крупа ячневая, в инд. уп.</v>
      </c>
      <c r="C40" s="51" t="str">
        <f>'Меню март-май 2024'!Q48</f>
        <v>кг</v>
      </c>
      <c r="D40" s="77">
        <f>'Меню март-май 2024'!R48</f>
        <v>48</v>
      </c>
      <c r="E40" s="217"/>
      <c r="F40" s="49">
        <f t="shared" si="0"/>
        <v>0</v>
      </c>
      <c r="G40" s="217"/>
      <c r="H40" s="49">
        <f t="shared" si="9"/>
        <v>0</v>
      </c>
      <c r="I40" s="217"/>
      <c r="J40" s="49">
        <f t="shared" si="10"/>
        <v>0</v>
      </c>
      <c r="K40" s="217"/>
      <c r="L40" s="49">
        <f t="shared" si="11"/>
        <v>0</v>
      </c>
      <c r="M40" s="223"/>
      <c r="N40" s="49">
        <f t="shared" si="12"/>
        <v>0</v>
      </c>
      <c r="O40" s="217"/>
      <c r="P40" s="49">
        <f t="shared" si="1"/>
        <v>0</v>
      </c>
      <c r="Q40" s="217"/>
      <c r="R40" s="49">
        <f t="shared" si="2"/>
        <v>0</v>
      </c>
      <c r="S40" s="217"/>
      <c r="T40" s="49">
        <f t="shared" si="3"/>
        <v>0</v>
      </c>
      <c r="U40" s="217"/>
      <c r="V40" s="49">
        <f t="shared" si="4"/>
        <v>0</v>
      </c>
      <c r="W40" s="217"/>
      <c r="X40" s="49">
        <f t="shared" si="5"/>
        <v>0</v>
      </c>
      <c r="Y40" s="56">
        <f t="shared" si="6"/>
        <v>0</v>
      </c>
      <c r="Z40" s="49">
        <f t="shared" si="13"/>
        <v>0</v>
      </c>
      <c r="AA40" s="67">
        <f t="shared" si="8"/>
        <v>0</v>
      </c>
    </row>
    <row r="41" spans="1:27" ht="15">
      <c r="A41" s="52">
        <v>39</v>
      </c>
      <c r="B41" s="50" t="str">
        <f>'Меню март-май 2024'!P49</f>
        <v>Хлопья "Геркулес", в инд. уп.</v>
      </c>
      <c r="C41" s="51" t="str">
        <f>'Меню март-май 2024'!Q49</f>
        <v>кг</v>
      </c>
      <c r="D41" s="77">
        <f>'Меню март-май 2024'!R49</f>
        <v>76</v>
      </c>
      <c r="E41" s="217"/>
      <c r="F41" s="49">
        <f t="shared" si="0"/>
        <v>0</v>
      </c>
      <c r="G41" s="217"/>
      <c r="H41" s="49">
        <f t="shared" si="9"/>
        <v>0</v>
      </c>
      <c r="I41" s="217"/>
      <c r="J41" s="49">
        <f t="shared" si="10"/>
        <v>0</v>
      </c>
      <c r="K41" s="217"/>
      <c r="L41" s="49">
        <f t="shared" si="11"/>
        <v>0</v>
      </c>
      <c r="M41" s="223"/>
      <c r="N41" s="49">
        <f t="shared" si="12"/>
        <v>0</v>
      </c>
      <c r="O41" s="217"/>
      <c r="P41" s="49">
        <f t="shared" si="1"/>
        <v>0</v>
      </c>
      <c r="Q41" s="217"/>
      <c r="R41" s="49">
        <f t="shared" si="2"/>
        <v>0</v>
      </c>
      <c r="S41" s="217"/>
      <c r="T41" s="49">
        <f t="shared" si="3"/>
        <v>0</v>
      </c>
      <c r="U41" s="217"/>
      <c r="V41" s="49">
        <f t="shared" si="4"/>
        <v>0</v>
      </c>
      <c r="W41" s="217"/>
      <c r="X41" s="49">
        <f t="shared" si="5"/>
        <v>0</v>
      </c>
      <c r="Y41" s="56">
        <f t="shared" si="6"/>
        <v>0</v>
      </c>
      <c r="Z41" s="49">
        <f t="shared" si="13"/>
        <v>0</v>
      </c>
      <c r="AA41" s="67">
        <f t="shared" si="8"/>
        <v>0</v>
      </c>
    </row>
    <row r="42" spans="1:27" ht="15">
      <c r="A42" s="52">
        <v>40</v>
      </c>
      <c r="B42" s="50" t="str">
        <f>'Меню март-май 2024'!P50</f>
        <v>Сахар-песок</v>
      </c>
      <c r="C42" s="51" t="str">
        <f>'Меню март-май 2024'!Q50</f>
        <v>кг</v>
      </c>
      <c r="D42" s="77">
        <f>'Меню март-май 2024'!R50</f>
        <v>85</v>
      </c>
      <c r="E42" s="217">
        <f>7+12</f>
        <v>19</v>
      </c>
      <c r="F42" s="49">
        <f t="shared" si="0"/>
        <v>1.62</v>
      </c>
      <c r="G42" s="217">
        <v>11</v>
      </c>
      <c r="H42" s="49">
        <v>0.93</v>
      </c>
      <c r="I42" s="217">
        <f>3+11</f>
        <v>14</v>
      </c>
      <c r="J42" s="49">
        <v>1.2</v>
      </c>
      <c r="K42" s="217"/>
      <c r="L42" s="49">
        <f t="shared" si="11"/>
        <v>0</v>
      </c>
      <c r="M42" s="223">
        <f>12+12</f>
        <v>24</v>
      </c>
      <c r="N42" s="49">
        <f t="shared" si="12"/>
        <v>2.04</v>
      </c>
      <c r="O42" s="217">
        <v>10</v>
      </c>
      <c r="P42" s="49">
        <f t="shared" si="1"/>
        <v>0.85</v>
      </c>
      <c r="Q42" s="217">
        <v>13</v>
      </c>
      <c r="R42" s="49">
        <f t="shared" si="2"/>
        <v>1.11</v>
      </c>
      <c r="S42" s="217">
        <v>14</v>
      </c>
      <c r="T42" s="49">
        <f t="shared" si="3"/>
        <v>1.19</v>
      </c>
      <c r="U42" s="217">
        <f>18+13</f>
        <v>31</v>
      </c>
      <c r="V42" s="49">
        <f t="shared" si="4"/>
        <v>2.64</v>
      </c>
      <c r="W42" s="217">
        <v>11</v>
      </c>
      <c r="X42" s="49">
        <f t="shared" si="5"/>
        <v>0.94</v>
      </c>
      <c r="Y42" s="56">
        <f>(E42+G42+I42+K42+M42+O42+Q42+S42+U42+W42)</f>
        <v>147</v>
      </c>
      <c r="Z42" s="49">
        <f t="shared" si="13"/>
        <v>12.5</v>
      </c>
      <c r="AA42" s="67">
        <f t="shared" si="8"/>
        <v>735</v>
      </c>
    </row>
    <row r="43" spans="1:27" ht="15">
      <c r="A43" s="52">
        <v>41</v>
      </c>
      <c r="B43" s="50" t="str">
        <f>'Меню март-май 2024'!P51</f>
        <v>Макароны (высший сорт)</v>
      </c>
      <c r="C43" s="51" t="str">
        <f>'Меню март-май 2024'!Q51</f>
        <v>кг</v>
      </c>
      <c r="D43" s="77">
        <f>'Меню март-май 2024'!R51</f>
        <v>46</v>
      </c>
      <c r="E43" s="217">
        <v>45</v>
      </c>
      <c r="F43" s="49">
        <f t="shared" si="0"/>
        <v>2.07</v>
      </c>
      <c r="G43" s="217"/>
      <c r="H43" s="49">
        <f t="shared" si="9"/>
        <v>0</v>
      </c>
      <c r="I43" s="217"/>
      <c r="J43" s="49">
        <f t="shared" si="10"/>
        <v>0</v>
      </c>
      <c r="K43" s="217"/>
      <c r="L43" s="49">
        <f t="shared" si="11"/>
        <v>0</v>
      </c>
      <c r="M43" s="223"/>
      <c r="N43" s="49">
        <f t="shared" si="12"/>
        <v>0</v>
      </c>
      <c r="O43" s="217">
        <v>63</v>
      </c>
      <c r="P43" s="49">
        <f t="shared" si="1"/>
        <v>2.9</v>
      </c>
      <c r="Q43" s="217"/>
      <c r="R43" s="49">
        <f t="shared" si="2"/>
        <v>0</v>
      </c>
      <c r="S43" s="217"/>
      <c r="T43" s="49">
        <f t="shared" si="3"/>
        <v>0</v>
      </c>
      <c r="U43" s="217"/>
      <c r="V43" s="49">
        <f t="shared" si="4"/>
        <v>0</v>
      </c>
      <c r="W43" s="217"/>
      <c r="X43" s="49">
        <f t="shared" si="5"/>
        <v>0</v>
      </c>
      <c r="Y43" s="56">
        <f t="shared" si="6"/>
        <v>108</v>
      </c>
      <c r="Z43" s="49">
        <f t="shared" si="13"/>
        <v>4.97</v>
      </c>
      <c r="AA43" s="67">
        <f t="shared" si="8"/>
        <v>540</v>
      </c>
    </row>
    <row r="44" spans="1:27" ht="15">
      <c r="A44" s="52">
        <v>42</v>
      </c>
      <c r="B44" s="50" t="str">
        <f>'Меню март-май 2024'!P52</f>
        <v>Вермишель (высший сорт)</v>
      </c>
      <c r="C44" s="51" t="str">
        <f>'Меню март-май 2024'!Q52</f>
        <v>кг</v>
      </c>
      <c r="D44" s="77">
        <f>'Меню март-май 2024'!R52</f>
        <v>47</v>
      </c>
      <c r="E44" s="217"/>
      <c r="F44" s="49">
        <f t="shared" si="0"/>
        <v>0</v>
      </c>
      <c r="G44" s="217"/>
      <c r="H44" s="49">
        <f t="shared" si="9"/>
        <v>0</v>
      </c>
      <c r="I44" s="217"/>
      <c r="J44" s="49">
        <f t="shared" si="10"/>
        <v>0</v>
      </c>
      <c r="K44" s="217"/>
      <c r="L44" s="49">
        <f t="shared" si="11"/>
        <v>0</v>
      </c>
      <c r="M44" s="223"/>
      <c r="N44" s="49">
        <f t="shared" si="12"/>
        <v>0</v>
      </c>
      <c r="O44" s="217"/>
      <c r="P44" s="49">
        <f t="shared" si="1"/>
        <v>0</v>
      </c>
      <c r="Q44" s="217"/>
      <c r="R44" s="49">
        <f t="shared" si="2"/>
        <v>0</v>
      </c>
      <c r="S44" s="217"/>
      <c r="T44" s="49">
        <f t="shared" si="3"/>
        <v>0</v>
      </c>
      <c r="U44" s="217"/>
      <c r="V44" s="49">
        <f t="shared" si="4"/>
        <v>0</v>
      </c>
      <c r="W44" s="217"/>
      <c r="X44" s="49">
        <f t="shared" si="5"/>
        <v>0</v>
      </c>
      <c r="Y44" s="56">
        <f t="shared" si="6"/>
        <v>0</v>
      </c>
      <c r="Z44" s="49">
        <f t="shared" si="13"/>
        <v>0</v>
      </c>
      <c r="AA44" s="67">
        <f t="shared" si="8"/>
        <v>0</v>
      </c>
    </row>
    <row r="45" spans="1:27" ht="15">
      <c r="A45" s="52">
        <v>43</v>
      </c>
      <c r="B45" s="50" t="str">
        <f>'Меню март-май 2024'!P53</f>
        <v>Дрожжи сухие</v>
      </c>
      <c r="C45" s="51" t="str">
        <f>'Меню март-май 2024'!Q53</f>
        <v>кг</v>
      </c>
      <c r="D45" s="77">
        <f>'Меню март-май 2024'!R53</f>
        <v>377</v>
      </c>
      <c r="E45" s="217">
        <v>1</v>
      </c>
      <c r="F45" s="49">
        <f t="shared" si="0"/>
        <v>0.38</v>
      </c>
      <c r="G45" s="217"/>
      <c r="H45" s="49">
        <f t="shared" si="9"/>
        <v>0</v>
      </c>
      <c r="I45" s="217">
        <v>1</v>
      </c>
      <c r="J45" s="49">
        <f t="shared" si="10"/>
        <v>0.38</v>
      </c>
      <c r="K45" s="217"/>
      <c r="L45" s="49">
        <f t="shared" si="11"/>
        <v>0</v>
      </c>
      <c r="M45" s="223">
        <v>2.5</v>
      </c>
      <c r="N45" s="49">
        <f t="shared" si="12"/>
        <v>0.94</v>
      </c>
      <c r="O45" s="217"/>
      <c r="P45" s="49">
        <f t="shared" si="1"/>
        <v>0</v>
      </c>
      <c r="Q45" s="217"/>
      <c r="R45" s="49">
        <f t="shared" si="2"/>
        <v>0</v>
      </c>
      <c r="S45" s="217"/>
      <c r="T45" s="49">
        <f t="shared" si="3"/>
        <v>0</v>
      </c>
      <c r="U45" s="217"/>
      <c r="V45" s="49">
        <f t="shared" si="4"/>
        <v>0</v>
      </c>
      <c r="W45" s="217"/>
      <c r="X45" s="49">
        <f t="shared" si="5"/>
        <v>0</v>
      </c>
      <c r="Y45" s="56">
        <f t="shared" si="6"/>
        <v>4.5</v>
      </c>
      <c r="Z45" s="49">
        <f t="shared" si="13"/>
        <v>1.7</v>
      </c>
      <c r="AA45" s="67">
        <f t="shared" si="8"/>
        <v>22.5</v>
      </c>
    </row>
    <row r="46" spans="1:27" ht="15">
      <c r="A46" s="52">
        <v>44</v>
      </c>
      <c r="B46" s="50" t="str">
        <f>'Меню март-май 2024'!P54</f>
        <v>Соль йодированная</v>
      </c>
      <c r="C46" s="51" t="str">
        <f>'Меню март-май 2024'!Q54</f>
        <v>кг</v>
      </c>
      <c r="D46" s="77">
        <f>'Меню март-май 2024'!R54</f>
        <v>27</v>
      </c>
      <c r="E46" s="217">
        <v>1.5</v>
      </c>
      <c r="F46" s="49">
        <f t="shared" si="0"/>
        <v>0.04</v>
      </c>
      <c r="G46" s="217">
        <v>2.5</v>
      </c>
      <c r="H46" s="49">
        <f t="shared" si="9"/>
        <v>0.07</v>
      </c>
      <c r="I46" s="217">
        <v>2</v>
      </c>
      <c r="J46" s="49">
        <f t="shared" si="10"/>
        <v>0.05</v>
      </c>
      <c r="K46" s="217">
        <v>3.5</v>
      </c>
      <c r="L46" s="49">
        <f t="shared" si="11"/>
        <v>0.09</v>
      </c>
      <c r="M46" s="223">
        <v>3</v>
      </c>
      <c r="N46" s="49">
        <f t="shared" si="12"/>
        <v>0.08</v>
      </c>
      <c r="O46" s="217">
        <v>3.5</v>
      </c>
      <c r="P46" s="49">
        <f t="shared" si="1"/>
        <v>0.09</v>
      </c>
      <c r="Q46" s="217">
        <v>2</v>
      </c>
      <c r="R46" s="49">
        <f t="shared" si="2"/>
        <v>0.05</v>
      </c>
      <c r="S46" s="217">
        <v>4</v>
      </c>
      <c r="T46" s="49">
        <f t="shared" si="3"/>
        <v>0.11</v>
      </c>
      <c r="U46" s="217"/>
      <c r="V46" s="49">
        <f t="shared" si="4"/>
        <v>0</v>
      </c>
      <c r="W46" s="217">
        <v>3</v>
      </c>
      <c r="X46" s="49">
        <f t="shared" si="5"/>
        <v>0.08</v>
      </c>
      <c r="Y46" s="56">
        <f t="shared" si="6"/>
        <v>25</v>
      </c>
      <c r="Z46" s="49">
        <f t="shared" si="13"/>
        <v>0.68</v>
      </c>
      <c r="AA46" s="67">
        <f t="shared" si="8"/>
        <v>125</v>
      </c>
    </row>
    <row r="47" spans="1:27" ht="13.5" customHeight="1">
      <c r="A47" s="52">
        <v>45</v>
      </c>
      <c r="B47" s="50">
        <f>'Меню март-май 2024'!P55</f>
        <v>0</v>
      </c>
      <c r="C47" s="51">
        <f>'Меню март-май 2024'!Q55</f>
        <v>0</v>
      </c>
      <c r="D47" s="77">
        <f>'Меню март-май 2024'!R55</f>
        <v>0</v>
      </c>
      <c r="E47" s="217"/>
      <c r="F47" s="49">
        <f t="shared" si="0"/>
        <v>0</v>
      </c>
      <c r="G47" s="217"/>
      <c r="H47" s="49">
        <f t="shared" si="9"/>
        <v>0</v>
      </c>
      <c r="I47" s="217"/>
      <c r="J47" s="49">
        <f t="shared" si="10"/>
        <v>0</v>
      </c>
      <c r="K47" s="217"/>
      <c r="L47" s="49">
        <f t="shared" si="11"/>
        <v>0</v>
      </c>
      <c r="M47" s="223"/>
      <c r="N47" s="49">
        <f t="shared" si="12"/>
        <v>0</v>
      </c>
      <c r="O47" s="217"/>
      <c r="P47" s="49">
        <f t="shared" si="1"/>
        <v>0</v>
      </c>
      <c r="Q47" s="217"/>
      <c r="R47" s="49">
        <f t="shared" si="2"/>
        <v>0</v>
      </c>
      <c r="S47" s="217"/>
      <c r="T47" s="49">
        <f t="shared" si="3"/>
        <v>0</v>
      </c>
      <c r="U47" s="217"/>
      <c r="V47" s="49">
        <f t="shared" si="4"/>
        <v>0</v>
      </c>
      <c r="W47" s="217"/>
      <c r="X47" s="49">
        <f t="shared" si="5"/>
        <v>0</v>
      </c>
      <c r="Y47" s="56">
        <f t="shared" si="6"/>
        <v>0</v>
      </c>
      <c r="Z47" s="49">
        <f t="shared" si="13"/>
        <v>0</v>
      </c>
      <c r="AA47" s="67">
        <f t="shared" si="8"/>
        <v>0</v>
      </c>
    </row>
    <row r="48" spans="1:27" ht="15">
      <c r="A48" s="52">
        <v>46</v>
      </c>
      <c r="B48" s="50" t="str">
        <f>'Меню март-май 2024'!P56</f>
        <v>Кофейный напиток (ячменный)</v>
      </c>
      <c r="C48" s="51" t="str">
        <f>'Меню март-май 2024'!Q56</f>
        <v>кг</v>
      </c>
      <c r="D48" s="77">
        <f>'Меню март-май 2024'!R56</f>
        <v>467</v>
      </c>
      <c r="E48" s="217"/>
      <c r="F48" s="49">
        <f t="shared" si="0"/>
        <v>0</v>
      </c>
      <c r="G48" s="217"/>
      <c r="H48" s="49">
        <f t="shared" si="9"/>
        <v>0</v>
      </c>
      <c r="I48" s="217">
        <v>2</v>
      </c>
      <c r="J48" s="49">
        <f t="shared" si="10"/>
        <v>0.93</v>
      </c>
      <c r="K48" s="217"/>
      <c r="L48" s="49">
        <f t="shared" si="11"/>
        <v>0</v>
      </c>
      <c r="M48" s="223"/>
      <c r="N48" s="49">
        <f t="shared" si="12"/>
        <v>0</v>
      </c>
      <c r="O48" s="217"/>
      <c r="P48" s="49">
        <f t="shared" si="1"/>
        <v>0</v>
      </c>
      <c r="Q48" s="217"/>
      <c r="R48" s="49">
        <f t="shared" si="2"/>
        <v>0</v>
      </c>
      <c r="S48" s="217"/>
      <c r="T48" s="49">
        <f t="shared" si="3"/>
        <v>0</v>
      </c>
      <c r="U48" s="217"/>
      <c r="V48" s="49">
        <f t="shared" si="4"/>
        <v>0</v>
      </c>
      <c r="W48" s="217"/>
      <c r="X48" s="49">
        <f t="shared" si="5"/>
        <v>0</v>
      </c>
      <c r="Y48" s="56">
        <f t="shared" si="6"/>
        <v>2</v>
      </c>
      <c r="Z48" s="49">
        <f t="shared" si="13"/>
        <v>0.93</v>
      </c>
      <c r="AA48" s="67">
        <f t="shared" si="8"/>
        <v>10</v>
      </c>
    </row>
    <row r="49" spans="1:27" ht="15">
      <c r="A49" s="52">
        <v>47</v>
      </c>
      <c r="B49" s="50" t="str">
        <f>'Меню март-май 2024'!P57</f>
        <v>Какао порошок</v>
      </c>
      <c r="C49" s="51" t="str">
        <f>'Меню март-май 2024'!Q57</f>
        <v>кг</v>
      </c>
      <c r="D49" s="77">
        <f>'Меню март-май 2024'!R57</f>
        <v>403</v>
      </c>
      <c r="E49" s="217"/>
      <c r="F49" s="49">
        <f t="shared" si="0"/>
        <v>0</v>
      </c>
      <c r="G49" s="217"/>
      <c r="H49" s="49">
        <f t="shared" si="9"/>
        <v>0</v>
      </c>
      <c r="I49" s="217"/>
      <c r="J49" s="49">
        <f t="shared" si="10"/>
        <v>0</v>
      </c>
      <c r="K49" s="217"/>
      <c r="L49" s="49">
        <f t="shared" si="11"/>
        <v>0</v>
      </c>
      <c r="M49" s="223"/>
      <c r="N49" s="49">
        <f t="shared" si="12"/>
        <v>0</v>
      </c>
      <c r="O49" s="217"/>
      <c r="P49" s="49">
        <f t="shared" si="1"/>
        <v>0</v>
      </c>
      <c r="Q49" s="217">
        <v>3</v>
      </c>
      <c r="R49" s="49">
        <f t="shared" si="2"/>
        <v>1.21</v>
      </c>
      <c r="S49" s="217"/>
      <c r="T49" s="49">
        <f t="shared" si="3"/>
        <v>0</v>
      </c>
      <c r="U49" s="217"/>
      <c r="V49" s="49">
        <f t="shared" si="4"/>
        <v>0</v>
      </c>
      <c r="W49" s="217"/>
      <c r="X49" s="49">
        <f t="shared" si="5"/>
        <v>0</v>
      </c>
      <c r="Y49" s="56">
        <f t="shared" si="6"/>
        <v>3</v>
      </c>
      <c r="Z49" s="49">
        <f t="shared" si="13"/>
        <v>1.21</v>
      </c>
      <c r="AA49" s="67">
        <f t="shared" si="8"/>
        <v>15</v>
      </c>
    </row>
    <row r="50" spans="1:27" ht="15">
      <c r="A50" s="52">
        <v>48</v>
      </c>
      <c r="B50" s="50" t="str">
        <f>'Меню март-май 2024'!P58</f>
        <v>Чай черный (1 сорт)</v>
      </c>
      <c r="C50" s="51" t="str">
        <f>'Меню март-май 2024'!Q58</f>
        <v>кг</v>
      </c>
      <c r="D50" s="77">
        <f>'Меню март-май 2024'!R58</f>
        <v>507</v>
      </c>
      <c r="E50" s="217">
        <v>1</v>
      </c>
      <c r="F50" s="49">
        <f t="shared" si="0"/>
        <v>0.51</v>
      </c>
      <c r="G50" s="217">
        <v>1</v>
      </c>
      <c r="H50" s="49">
        <f t="shared" si="9"/>
        <v>0.51</v>
      </c>
      <c r="I50" s="217"/>
      <c r="J50" s="49">
        <f t="shared" si="10"/>
        <v>0</v>
      </c>
      <c r="K50" s="217"/>
      <c r="L50" s="49">
        <f t="shared" si="11"/>
        <v>0</v>
      </c>
      <c r="M50" s="223">
        <v>1</v>
      </c>
      <c r="N50" s="49">
        <f t="shared" si="12"/>
        <v>0.51</v>
      </c>
      <c r="O50" s="217">
        <v>1</v>
      </c>
      <c r="P50" s="49">
        <f t="shared" si="1"/>
        <v>0.51</v>
      </c>
      <c r="Q50" s="217"/>
      <c r="R50" s="49">
        <f t="shared" si="2"/>
        <v>0</v>
      </c>
      <c r="S50" s="217">
        <v>1</v>
      </c>
      <c r="T50" s="49">
        <f t="shared" si="3"/>
        <v>0.51</v>
      </c>
      <c r="U50" s="217">
        <v>1</v>
      </c>
      <c r="V50" s="49">
        <f t="shared" si="4"/>
        <v>0.51</v>
      </c>
      <c r="W50" s="217">
        <v>1</v>
      </c>
      <c r="X50" s="49">
        <f t="shared" si="5"/>
        <v>0.51</v>
      </c>
      <c r="Y50" s="56">
        <f t="shared" si="6"/>
        <v>7</v>
      </c>
      <c r="Z50" s="49">
        <f t="shared" si="13"/>
        <v>3.55</v>
      </c>
      <c r="AA50" s="67">
        <f t="shared" si="8"/>
        <v>35</v>
      </c>
    </row>
    <row r="51" spans="1:27" ht="15">
      <c r="A51" s="52">
        <v>49</v>
      </c>
      <c r="B51" s="50" t="str">
        <f>'Меню март-май 2024'!P59</f>
        <v>Лавровый лист</v>
      </c>
      <c r="C51" s="51" t="str">
        <f>'Меню март-май 2024'!Q59</f>
        <v>кг</v>
      </c>
      <c r="D51" s="77">
        <f>'Меню март-май 2024'!R59</f>
        <v>617</v>
      </c>
      <c r="E51" s="217"/>
      <c r="F51" s="49">
        <f t="shared" si="0"/>
        <v>0</v>
      </c>
      <c r="G51" s="217"/>
      <c r="H51" s="49">
        <f t="shared" si="9"/>
        <v>0</v>
      </c>
      <c r="I51" s="217"/>
      <c r="J51" s="49">
        <f t="shared" si="10"/>
        <v>0</v>
      </c>
      <c r="K51" s="217"/>
      <c r="L51" s="49">
        <f t="shared" si="11"/>
        <v>0</v>
      </c>
      <c r="M51" s="223"/>
      <c r="N51" s="49">
        <f t="shared" si="12"/>
        <v>0</v>
      </c>
      <c r="O51" s="217"/>
      <c r="P51" s="49">
        <f t="shared" si="1"/>
        <v>0</v>
      </c>
      <c r="Q51" s="217"/>
      <c r="R51" s="49">
        <f t="shared" si="2"/>
        <v>0</v>
      </c>
      <c r="S51" s="217"/>
      <c r="T51" s="49">
        <f t="shared" si="3"/>
        <v>0</v>
      </c>
      <c r="U51" s="217"/>
      <c r="V51" s="49">
        <f t="shared" si="4"/>
        <v>0</v>
      </c>
      <c r="W51" s="217"/>
      <c r="X51" s="49">
        <f t="shared" si="5"/>
        <v>0</v>
      </c>
      <c r="Y51" s="56">
        <f t="shared" si="6"/>
        <v>0</v>
      </c>
      <c r="Z51" s="49">
        <f t="shared" si="13"/>
        <v>0</v>
      </c>
      <c r="AA51" s="67">
        <f t="shared" si="8"/>
        <v>0</v>
      </c>
    </row>
    <row r="52" spans="1:27" ht="15">
      <c r="A52" s="52">
        <v>50</v>
      </c>
      <c r="B52" s="50" t="str">
        <f>'Меню март-май 2024'!P60</f>
        <v>Хлеб пшеничный</v>
      </c>
      <c r="C52" s="51" t="str">
        <f>'Меню март-май 2024'!Q60</f>
        <v>кг</v>
      </c>
      <c r="D52" s="77">
        <f>'Меню март-май 2024'!R60</f>
        <v>48</v>
      </c>
      <c r="E52" s="217">
        <v>50</v>
      </c>
      <c r="F52" s="49">
        <f t="shared" si="0"/>
        <v>2.4</v>
      </c>
      <c r="G52" s="217">
        <v>50</v>
      </c>
      <c r="H52" s="49">
        <f t="shared" si="9"/>
        <v>2.4</v>
      </c>
      <c r="I52" s="217"/>
      <c r="J52" s="49">
        <f t="shared" si="10"/>
        <v>0</v>
      </c>
      <c r="K52" s="217">
        <v>50</v>
      </c>
      <c r="L52" s="49">
        <f t="shared" si="11"/>
        <v>2.4</v>
      </c>
      <c r="M52" s="223">
        <f>11+11+40</f>
        <v>62</v>
      </c>
      <c r="N52" s="49">
        <f t="shared" si="12"/>
        <v>2.98</v>
      </c>
      <c r="O52" s="217">
        <f>7+45</f>
        <v>52</v>
      </c>
      <c r="P52" s="49">
        <f t="shared" si="1"/>
        <v>2.5</v>
      </c>
      <c r="Q52" s="217">
        <f>50</f>
        <v>50</v>
      </c>
      <c r="R52" s="49">
        <f t="shared" si="2"/>
        <v>2.4</v>
      </c>
      <c r="S52" s="217">
        <f>40</f>
        <v>40</v>
      </c>
      <c r="T52" s="49">
        <f t="shared" si="3"/>
        <v>1.92</v>
      </c>
      <c r="U52" s="217">
        <f>14+40</f>
        <v>54</v>
      </c>
      <c r="V52" s="49">
        <f t="shared" si="4"/>
        <v>2.59</v>
      </c>
      <c r="W52" s="217">
        <v>50</v>
      </c>
      <c r="X52" s="49">
        <f t="shared" si="5"/>
        <v>2.4</v>
      </c>
      <c r="Y52" s="56">
        <f t="shared" si="6"/>
        <v>458</v>
      </c>
      <c r="Z52" s="49">
        <f t="shared" si="13"/>
        <v>21.98</v>
      </c>
      <c r="AA52" s="67">
        <f t="shared" si="8"/>
        <v>2290</v>
      </c>
    </row>
    <row r="53" spans="1:27" ht="15">
      <c r="A53" s="52">
        <v>51</v>
      </c>
      <c r="B53" s="50" t="str">
        <f>'Меню март-май 2024'!P61</f>
        <v>Хлеб ржаной</v>
      </c>
      <c r="C53" s="51" t="str">
        <f>'Меню март-май 2024'!Q61</f>
        <v>кг</v>
      </c>
      <c r="D53" s="77">
        <f>'Меню март-май 2024'!R61</f>
        <v>52</v>
      </c>
      <c r="E53" s="217"/>
      <c r="F53" s="49">
        <f t="shared" si="0"/>
        <v>0</v>
      </c>
      <c r="G53" s="217"/>
      <c r="H53" s="49">
        <f t="shared" si="9"/>
        <v>0</v>
      </c>
      <c r="I53" s="217"/>
      <c r="J53" s="49">
        <f t="shared" si="10"/>
        <v>0</v>
      </c>
      <c r="K53" s="217"/>
      <c r="L53" s="49">
        <f t="shared" si="11"/>
        <v>0</v>
      </c>
      <c r="M53" s="223"/>
      <c r="N53" s="49">
        <f t="shared" si="12"/>
        <v>0</v>
      </c>
      <c r="O53" s="217"/>
      <c r="P53" s="49">
        <f t="shared" si="1"/>
        <v>0</v>
      </c>
      <c r="Q53" s="217"/>
      <c r="R53" s="49">
        <f t="shared" si="2"/>
        <v>0</v>
      </c>
      <c r="S53" s="217">
        <v>40</v>
      </c>
      <c r="T53" s="49">
        <f t="shared" si="3"/>
        <v>2.08</v>
      </c>
      <c r="U53" s="217"/>
      <c r="V53" s="49">
        <f t="shared" si="4"/>
        <v>0</v>
      </c>
      <c r="W53" s="217"/>
      <c r="X53" s="49">
        <f t="shared" si="5"/>
        <v>0</v>
      </c>
      <c r="Y53" s="56">
        <f t="shared" si="6"/>
        <v>40</v>
      </c>
      <c r="Z53" s="49">
        <f t="shared" si="13"/>
        <v>2.08</v>
      </c>
      <c r="AA53" s="67">
        <f t="shared" si="8"/>
        <v>200</v>
      </c>
    </row>
    <row r="54" spans="1:27" ht="15">
      <c r="A54" s="52">
        <v>52</v>
      </c>
      <c r="B54" s="50" t="str">
        <f>'Меню март-май 2024'!P68</f>
        <v>Печенье в ассортименте</v>
      </c>
      <c r="C54" s="51" t="str">
        <f>'Меню март-май 2024'!Q68</f>
        <v>кг</v>
      </c>
      <c r="D54" s="77">
        <f>'Меню март-май 2024'!R68</f>
        <v>153</v>
      </c>
      <c r="E54" s="217"/>
      <c r="F54" s="49">
        <f t="shared" si="0"/>
        <v>0</v>
      </c>
      <c r="G54" s="217"/>
      <c r="H54" s="49">
        <f t="shared" si="9"/>
        <v>0</v>
      </c>
      <c r="I54" s="217"/>
      <c r="J54" s="49">
        <f t="shared" si="10"/>
        <v>0</v>
      </c>
      <c r="K54" s="217"/>
      <c r="L54" s="49">
        <f t="shared" si="11"/>
        <v>0</v>
      </c>
      <c r="M54" s="223"/>
      <c r="N54" s="49">
        <f t="shared" si="12"/>
        <v>0</v>
      </c>
      <c r="O54" s="217"/>
      <c r="P54" s="49">
        <f t="shared" si="1"/>
        <v>0</v>
      </c>
      <c r="Q54" s="217"/>
      <c r="R54" s="49">
        <f t="shared" si="2"/>
        <v>0</v>
      </c>
      <c r="S54" s="217"/>
      <c r="T54" s="49">
        <f t="shared" si="3"/>
        <v>0</v>
      </c>
      <c r="U54" s="217"/>
      <c r="V54" s="49">
        <f t="shared" si="4"/>
        <v>0</v>
      </c>
      <c r="W54" s="217"/>
      <c r="X54" s="49">
        <f t="shared" si="5"/>
        <v>0</v>
      </c>
      <c r="Y54" s="56">
        <f t="shared" si="6"/>
        <v>0</v>
      </c>
      <c r="Z54" s="49">
        <f t="shared" si="13"/>
        <v>0</v>
      </c>
      <c r="AA54" s="67">
        <f t="shared" si="8"/>
        <v>0</v>
      </c>
    </row>
    <row r="55" spans="1:27" ht="15">
      <c r="A55" s="52">
        <v>53</v>
      </c>
      <c r="B55" s="50" t="str">
        <f>'Меню март-май 2024'!P64</f>
        <v>Пряник 1 сорт</v>
      </c>
      <c r="C55" s="51" t="str">
        <f>'Меню март-май 2024'!Q64</f>
        <v>кг</v>
      </c>
      <c r="D55" s="77">
        <f>'Меню март-май 2024'!R64</f>
        <v>153</v>
      </c>
      <c r="E55" s="217"/>
      <c r="F55" s="49">
        <f t="shared" si="0"/>
        <v>0</v>
      </c>
      <c r="G55" s="217"/>
      <c r="H55" s="49">
        <f t="shared" si="9"/>
        <v>0</v>
      </c>
      <c r="I55" s="217"/>
      <c r="J55" s="49">
        <f t="shared" si="10"/>
        <v>0</v>
      </c>
      <c r="K55" s="217">
        <v>60</v>
      </c>
      <c r="L55" s="49">
        <f t="shared" si="11"/>
        <v>9.18</v>
      </c>
      <c r="M55" s="223"/>
      <c r="N55" s="49">
        <f t="shared" si="12"/>
        <v>0</v>
      </c>
      <c r="O55" s="217"/>
      <c r="P55" s="49">
        <f t="shared" si="1"/>
        <v>0</v>
      </c>
      <c r="Q55" s="217"/>
      <c r="R55" s="49">
        <f t="shared" si="2"/>
        <v>0</v>
      </c>
      <c r="S55" s="217"/>
      <c r="T55" s="49">
        <f t="shared" si="3"/>
        <v>0</v>
      </c>
      <c r="U55" s="217"/>
      <c r="V55" s="49">
        <f t="shared" si="4"/>
        <v>0</v>
      </c>
      <c r="W55" s="217">
        <v>40</v>
      </c>
      <c r="X55" s="49">
        <f t="shared" si="5"/>
        <v>6.12</v>
      </c>
      <c r="Y55" s="56">
        <f t="shared" si="6"/>
        <v>100</v>
      </c>
      <c r="Z55" s="49">
        <f t="shared" si="13"/>
        <v>15.3</v>
      </c>
      <c r="AA55" s="67">
        <f t="shared" si="8"/>
        <v>500</v>
      </c>
    </row>
    <row r="56" spans="1:27" ht="15">
      <c r="A56" s="52">
        <v>54</v>
      </c>
      <c r="B56" s="50" t="str">
        <f>'Меню март-май 2024'!P62</f>
        <v>Фасоль сухая</v>
      </c>
      <c r="C56" s="51" t="str">
        <f>'Меню март-май 2024'!Q62</f>
        <v>кг</v>
      </c>
      <c r="D56" s="77">
        <f>'Меню март-май 2024'!R62</f>
        <v>185</v>
      </c>
      <c r="E56" s="217"/>
      <c r="F56" s="49">
        <f t="shared" si="0"/>
        <v>0</v>
      </c>
      <c r="G56" s="217"/>
      <c r="H56" s="49">
        <f t="shared" si="9"/>
        <v>0</v>
      </c>
      <c r="I56" s="217"/>
      <c r="J56" s="49">
        <f t="shared" si="10"/>
        <v>0</v>
      </c>
      <c r="K56" s="217"/>
      <c r="L56" s="49">
        <f t="shared" si="11"/>
        <v>0</v>
      </c>
      <c r="M56" s="223"/>
      <c r="N56" s="49">
        <f t="shared" si="12"/>
        <v>0</v>
      </c>
      <c r="O56" s="217"/>
      <c r="P56" s="49">
        <f t="shared" si="1"/>
        <v>0</v>
      </c>
      <c r="Q56" s="217"/>
      <c r="R56" s="49">
        <f t="shared" si="2"/>
        <v>0</v>
      </c>
      <c r="S56" s="217"/>
      <c r="T56" s="49">
        <f t="shared" si="3"/>
        <v>0</v>
      </c>
      <c r="U56" s="217"/>
      <c r="V56" s="49">
        <f t="shared" si="4"/>
        <v>0</v>
      </c>
      <c r="W56" s="217"/>
      <c r="X56" s="49">
        <f t="shared" si="5"/>
        <v>0</v>
      </c>
      <c r="Y56" s="56">
        <f t="shared" si="6"/>
        <v>0</v>
      </c>
      <c r="Z56" s="49">
        <f t="shared" si="13"/>
        <v>0</v>
      </c>
      <c r="AA56" s="67">
        <f t="shared" si="8"/>
        <v>0</v>
      </c>
    </row>
    <row r="57" spans="1:27" ht="15">
      <c r="A57" s="52">
        <v>55</v>
      </c>
      <c r="B57" s="50" t="str">
        <f>'Меню март-май 2024'!P63</f>
        <v>Лимон свежий (1 сорт)</v>
      </c>
      <c r="C57" s="51" t="str">
        <f>'Меню март-май 2024'!Q63</f>
        <v>кг</v>
      </c>
      <c r="D57" s="77">
        <f>'Меню март-май 2024'!R63</f>
        <v>220</v>
      </c>
      <c r="E57" s="217"/>
      <c r="F57" s="49">
        <f t="shared" si="0"/>
        <v>0</v>
      </c>
      <c r="G57" s="217"/>
      <c r="H57" s="49">
        <f t="shared" si="9"/>
        <v>0</v>
      </c>
      <c r="I57" s="217"/>
      <c r="J57" s="49">
        <f t="shared" si="10"/>
        <v>0</v>
      </c>
      <c r="K57" s="217"/>
      <c r="L57" s="49">
        <f t="shared" si="11"/>
        <v>0</v>
      </c>
      <c r="M57" s="223">
        <v>7</v>
      </c>
      <c r="N57" s="49">
        <f t="shared" si="12"/>
        <v>1.54</v>
      </c>
      <c r="O57" s="217"/>
      <c r="P57" s="49">
        <f t="shared" si="1"/>
        <v>0</v>
      </c>
      <c r="Q57" s="217"/>
      <c r="R57" s="49">
        <f t="shared" si="2"/>
        <v>0</v>
      </c>
      <c r="S57" s="217">
        <v>8</v>
      </c>
      <c r="T57" s="49">
        <f t="shared" si="3"/>
        <v>1.76</v>
      </c>
      <c r="U57" s="217">
        <v>8</v>
      </c>
      <c r="V57" s="49">
        <f t="shared" si="4"/>
        <v>1.76</v>
      </c>
      <c r="W57" s="217"/>
      <c r="X57" s="49">
        <f t="shared" si="5"/>
        <v>0</v>
      </c>
      <c r="Y57" s="56">
        <f t="shared" si="6"/>
        <v>23</v>
      </c>
      <c r="Z57" s="49">
        <f t="shared" si="13"/>
        <v>5.06</v>
      </c>
      <c r="AA57" s="67">
        <f t="shared" si="8"/>
        <v>115</v>
      </c>
    </row>
    <row r="58" spans="1:27" ht="15">
      <c r="A58" s="52">
        <v>56</v>
      </c>
      <c r="B58" s="50" t="str">
        <f>'Меню март-май 2024'!P65</f>
        <v>Груши свежие (1 сорт)</v>
      </c>
      <c r="C58" s="51" t="str">
        <f>'Меню март-май 2024'!Q65</f>
        <v>кг</v>
      </c>
      <c r="D58" s="77">
        <f>'Меню март-май 2024'!R65</f>
        <v>283</v>
      </c>
      <c r="E58" s="217"/>
      <c r="F58" s="49">
        <f t="shared" si="0"/>
        <v>0</v>
      </c>
      <c r="G58" s="217"/>
      <c r="H58" s="49">
        <f t="shared" si="9"/>
        <v>0</v>
      </c>
      <c r="I58" s="217"/>
      <c r="J58" s="49">
        <f t="shared" si="10"/>
        <v>0</v>
      </c>
      <c r="K58" s="217"/>
      <c r="L58" s="49">
        <f t="shared" si="11"/>
        <v>0</v>
      </c>
      <c r="M58" s="223"/>
      <c r="N58" s="49">
        <f t="shared" si="12"/>
        <v>0</v>
      </c>
      <c r="O58" s="217"/>
      <c r="P58" s="49">
        <f t="shared" si="1"/>
        <v>0</v>
      </c>
      <c r="Q58" s="217"/>
      <c r="R58" s="49">
        <f t="shared" si="2"/>
        <v>0</v>
      </c>
      <c r="S58" s="217"/>
      <c r="T58" s="49">
        <f t="shared" si="3"/>
        <v>0</v>
      </c>
      <c r="U58" s="217">
        <v>60</v>
      </c>
      <c r="V58" s="49">
        <f t="shared" si="4"/>
        <v>16.98</v>
      </c>
      <c r="W58" s="217"/>
      <c r="X58" s="49">
        <f t="shared" si="5"/>
        <v>0</v>
      </c>
      <c r="Y58" s="56">
        <f t="shared" si="6"/>
        <v>60</v>
      </c>
      <c r="Z58" s="49">
        <f t="shared" si="13"/>
        <v>16.98</v>
      </c>
      <c r="AA58" s="67">
        <f t="shared" si="8"/>
        <v>300</v>
      </c>
    </row>
    <row r="59" spans="1:26" s="67" customFormat="1" ht="15">
      <c r="A59" s="112"/>
      <c r="B59" s="113" t="s">
        <v>63</v>
      </c>
      <c r="C59" s="66"/>
      <c r="D59" s="66"/>
      <c r="E59" s="217"/>
      <c r="F59" s="107">
        <f>SUM(F3:F58)</f>
        <v>79.8</v>
      </c>
      <c r="G59" s="217"/>
      <c r="H59" s="107">
        <f>SUM(H3:H58)</f>
        <v>79.8</v>
      </c>
      <c r="I59" s="217"/>
      <c r="J59" s="107">
        <f>SUM(J3:J58)</f>
        <v>79.8</v>
      </c>
      <c r="K59" s="217"/>
      <c r="L59" s="107">
        <f>SUM(L3:L58)</f>
        <v>79.8</v>
      </c>
      <c r="M59" s="223"/>
      <c r="N59" s="107">
        <f>SUM(N3:N58)</f>
        <v>79.8</v>
      </c>
      <c r="O59" s="217"/>
      <c r="P59" s="107">
        <f>SUM(P3:P58)</f>
        <v>79.8</v>
      </c>
      <c r="Q59" s="217"/>
      <c r="R59" s="107">
        <f>SUM(R3:R58)</f>
        <v>79.8</v>
      </c>
      <c r="S59" s="217"/>
      <c r="T59" s="107">
        <f>SUM(T3:T58)</f>
        <v>79.8</v>
      </c>
      <c r="U59" s="217"/>
      <c r="V59" s="107">
        <f>SUM(V3:V58)</f>
        <v>79.8</v>
      </c>
      <c r="W59" s="217"/>
      <c r="X59" s="107">
        <f>SUM(X3:X58)</f>
        <v>79.8</v>
      </c>
      <c r="Y59" s="111">
        <f>(E59+G59+I59+K59+M59+O59+Q59+S59+U59+W59)</f>
        <v>0</v>
      </c>
      <c r="Z59" s="66">
        <f>Y59*D59/1000</f>
        <v>0</v>
      </c>
    </row>
    <row r="60" spans="1:26" s="67" customFormat="1" ht="12.75">
      <c r="A60" s="66"/>
      <c r="B60" s="66"/>
      <c r="C60" s="66"/>
      <c r="D60" s="66"/>
      <c r="E60" s="217"/>
      <c r="F60" s="66"/>
      <c r="G60" s="217"/>
      <c r="H60" s="66"/>
      <c r="I60" s="217"/>
      <c r="J60" s="66"/>
      <c r="K60" s="217"/>
      <c r="L60" s="66"/>
      <c r="M60" s="223"/>
      <c r="N60" s="66"/>
      <c r="O60" s="217"/>
      <c r="P60" s="66"/>
      <c r="Q60" s="217"/>
      <c r="R60" s="66"/>
      <c r="S60" s="217"/>
      <c r="T60" s="66"/>
      <c r="U60" s="217"/>
      <c r="V60" s="66"/>
      <c r="W60" s="217"/>
      <c r="X60" s="66"/>
      <c r="Y60" s="66"/>
      <c r="Z60" s="66">
        <f>SUM(Z3:Z59)</f>
        <v>797.92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625" style="48" bestFit="1" customWidth="1"/>
    <col min="2" max="2" width="31.25390625" style="48" customWidth="1"/>
    <col min="3" max="3" width="4.75390625" style="48" bestFit="1" customWidth="1"/>
    <col min="4" max="4" width="9.125" style="48" customWidth="1"/>
    <col min="5" max="5" width="9.125" style="216" customWidth="1"/>
    <col min="6" max="6" width="9.125" style="48" customWidth="1"/>
    <col min="7" max="7" width="9.125" style="216" customWidth="1"/>
    <col min="8" max="8" width="9.125" style="48" customWidth="1"/>
    <col min="9" max="9" width="9.125" style="216" customWidth="1"/>
    <col min="10" max="10" width="9.125" style="48" customWidth="1"/>
    <col min="11" max="11" width="9.125" style="216" customWidth="1"/>
    <col min="12" max="12" width="9.125" style="48" customWidth="1"/>
    <col min="13" max="13" width="9.125" style="222" customWidth="1"/>
    <col min="14" max="14" width="9.125" style="48" customWidth="1"/>
    <col min="15" max="15" width="9.125" style="216" customWidth="1"/>
    <col min="16" max="16" width="9.125" style="48" customWidth="1"/>
    <col min="17" max="17" width="9.125" style="216" customWidth="1"/>
    <col min="18" max="18" width="9.125" style="48" customWidth="1"/>
    <col min="19" max="19" width="9.125" style="216" customWidth="1"/>
    <col min="20" max="20" width="9.125" style="48" customWidth="1"/>
    <col min="21" max="21" width="9.125" style="216" customWidth="1"/>
    <col min="22" max="22" width="9.125" style="48" customWidth="1"/>
    <col min="23" max="23" width="9.125" style="222" customWidth="1"/>
    <col min="24" max="26" width="9.125" style="48" customWidth="1"/>
    <col min="27" max="27" width="9.125" style="67" customWidth="1"/>
    <col min="28" max="28" width="4.25390625" style="67" customWidth="1"/>
    <col min="29" max="29" width="9.125" style="48" customWidth="1"/>
    <col min="30" max="30" width="4.625" style="48" customWidth="1"/>
    <col min="31" max="16384" width="9.125" style="48" customWidth="1"/>
  </cols>
  <sheetData>
    <row r="1" spans="2:7" ht="15" customHeight="1">
      <c r="B1" s="129" t="s">
        <v>5</v>
      </c>
      <c r="G1" s="218"/>
    </row>
    <row r="2" spans="1:29" ht="25.5" customHeight="1">
      <c r="A2" s="55" t="s">
        <v>3</v>
      </c>
      <c r="B2" s="55" t="s">
        <v>52</v>
      </c>
      <c r="C2" s="55" t="s">
        <v>161</v>
      </c>
      <c r="D2" s="55" t="s">
        <v>53</v>
      </c>
      <c r="E2" s="215">
        <v>1</v>
      </c>
      <c r="F2" s="55" t="s">
        <v>54</v>
      </c>
      <c r="G2" s="215">
        <v>2</v>
      </c>
      <c r="H2" s="55" t="s">
        <v>54</v>
      </c>
      <c r="I2" s="215">
        <v>3</v>
      </c>
      <c r="J2" s="55" t="s">
        <v>54</v>
      </c>
      <c r="K2" s="215">
        <v>4</v>
      </c>
      <c r="L2" s="55" t="s">
        <v>54</v>
      </c>
      <c r="M2" s="221">
        <v>5</v>
      </c>
      <c r="N2" s="55" t="s">
        <v>54</v>
      </c>
      <c r="O2" s="215">
        <v>1</v>
      </c>
      <c r="P2" s="55" t="s">
        <v>54</v>
      </c>
      <c r="Q2" s="215">
        <v>2</v>
      </c>
      <c r="R2" s="55" t="s">
        <v>54</v>
      </c>
      <c r="S2" s="215">
        <v>3</v>
      </c>
      <c r="T2" s="55" t="s">
        <v>54</v>
      </c>
      <c r="U2" s="215">
        <v>4</v>
      </c>
      <c r="V2" s="55" t="s">
        <v>54</v>
      </c>
      <c r="W2" s="221">
        <v>5</v>
      </c>
      <c r="X2" s="55" t="s">
        <v>54</v>
      </c>
      <c r="Y2" s="55" t="s">
        <v>55</v>
      </c>
      <c r="Z2" s="55" t="s">
        <v>54</v>
      </c>
      <c r="AA2" s="92"/>
      <c r="AB2" s="92"/>
      <c r="AC2" s="48" t="s">
        <v>80</v>
      </c>
    </row>
    <row r="3" spans="1:29" ht="15" customHeight="1">
      <c r="A3" s="52">
        <v>1</v>
      </c>
      <c r="B3" s="50" t="str">
        <f>завтрак!B3</f>
        <v>Яйцо (1 сорт)</v>
      </c>
      <c r="C3" s="51" t="str">
        <f>завтрак!C3</f>
        <v>шт</v>
      </c>
      <c r="D3" s="77">
        <f>завтрак!D3</f>
        <v>13.5</v>
      </c>
      <c r="E3" s="217"/>
      <c r="F3" s="49">
        <f>E3*D3</f>
        <v>0</v>
      </c>
      <c r="G3" s="217"/>
      <c r="H3" s="49">
        <f>G3*D3</f>
        <v>0</v>
      </c>
      <c r="I3" s="217">
        <v>0.2</v>
      </c>
      <c r="J3" s="49">
        <f>I3*D3</f>
        <v>2.7</v>
      </c>
      <c r="K3" s="217"/>
      <c r="L3" s="49">
        <f>K3*D3</f>
        <v>0</v>
      </c>
      <c r="M3" s="223">
        <v>0.12</v>
      </c>
      <c r="N3" s="49">
        <f>D3*M3</f>
        <v>1.62</v>
      </c>
      <c r="O3" s="217">
        <v>0.14</v>
      </c>
      <c r="P3" s="49">
        <f>O3*D3</f>
        <v>1.89</v>
      </c>
      <c r="Q3" s="217"/>
      <c r="R3" s="49">
        <f>Q3*D3</f>
        <v>0</v>
      </c>
      <c r="S3" s="217"/>
      <c r="T3" s="49">
        <f>D3*S3</f>
        <v>0</v>
      </c>
      <c r="U3" s="217">
        <v>0.12</v>
      </c>
      <c r="V3" s="49">
        <f>D3*U3</f>
        <v>1.62</v>
      </c>
      <c r="W3" s="223"/>
      <c r="X3" s="49">
        <f>D3*W3</f>
        <v>0</v>
      </c>
      <c r="Y3" s="56">
        <f>(E3+G3+I3+K3+M3+O3+Q3+S3+U3+W3)</f>
        <v>0.58</v>
      </c>
      <c r="Z3" s="49">
        <f>Y3*D3</f>
        <v>7.83</v>
      </c>
      <c r="AA3" s="93">
        <f>Y3*5</f>
        <v>2.9</v>
      </c>
      <c r="AB3" s="93"/>
      <c r="AC3" s="48">
        <f>(Y3+завтрак!Y3)/10</f>
        <v>0.263</v>
      </c>
    </row>
    <row r="4" spans="1:29" ht="30" customHeight="1">
      <c r="A4" s="52">
        <v>2</v>
      </c>
      <c r="B4" s="50" t="str">
        <f>завтрак!B4</f>
        <v>Мясо говядины без кости (1 категории)</v>
      </c>
      <c r="C4" s="51" t="str">
        <f>завтрак!C4</f>
        <v>кг</v>
      </c>
      <c r="D4" s="77">
        <f>завтрак!D4</f>
        <v>622</v>
      </c>
      <c r="E4" s="217"/>
      <c r="F4" s="49">
        <f>D4*E4/1000</f>
        <v>0</v>
      </c>
      <c r="G4" s="217">
        <v>69</v>
      </c>
      <c r="H4" s="49">
        <f>G4*D4/1000</f>
        <v>42.92</v>
      </c>
      <c r="I4" s="217"/>
      <c r="J4" s="49">
        <f>I4*D4/1000</f>
        <v>0</v>
      </c>
      <c r="K4" s="217"/>
      <c r="L4" s="49">
        <f>K4*D4/1000</f>
        <v>0</v>
      </c>
      <c r="M4" s="223">
        <v>66</v>
      </c>
      <c r="N4" s="49">
        <f>D4*M4/1000</f>
        <v>41.05</v>
      </c>
      <c r="O4" s="217">
        <v>75</v>
      </c>
      <c r="P4" s="49">
        <f>O4*D4/1000</f>
        <v>46.65</v>
      </c>
      <c r="Q4" s="217"/>
      <c r="R4" s="49">
        <f>D4*Q4/1000</f>
        <v>0</v>
      </c>
      <c r="S4" s="217"/>
      <c r="T4" s="49">
        <f>D4*S4/1000</f>
        <v>0</v>
      </c>
      <c r="U4" s="217">
        <v>53</v>
      </c>
      <c r="V4" s="49">
        <f>D4*U4/1000</f>
        <v>32.97</v>
      </c>
      <c r="W4" s="223">
        <v>79</v>
      </c>
      <c r="X4" s="49">
        <f>D4*W4/1000</f>
        <v>49.14</v>
      </c>
      <c r="Y4" s="56">
        <f aca="true" t="shared" si="0" ref="Y4:Y58">(E4+G4+I4+K4+M4+O4+Q4+S4+U4+W4)</f>
        <v>342</v>
      </c>
      <c r="Z4" s="49">
        <f>Y4*D4/1000</f>
        <v>212.72</v>
      </c>
      <c r="AA4" s="93">
        <f aca="true" t="shared" si="1" ref="AA4:AA58">Y4*5</f>
        <v>1710</v>
      </c>
      <c r="AB4" s="93"/>
      <c r="AC4" s="48">
        <f>(Y4+завтрак!Y4)/10</f>
        <v>64.7</v>
      </c>
    </row>
    <row r="5" spans="1:29" ht="15" customHeight="1">
      <c r="A5" s="52">
        <v>3</v>
      </c>
      <c r="B5" s="50" t="str">
        <f>завтрак!B5</f>
        <v>Мясо птицы (1 категории), курица</v>
      </c>
      <c r="C5" s="51" t="str">
        <f>завтрак!C5</f>
        <v>кг</v>
      </c>
      <c r="D5" s="77">
        <f>завтрак!D5</f>
        <v>292</v>
      </c>
      <c r="E5" s="217">
        <v>138</v>
      </c>
      <c r="F5" s="49">
        <f aca="true" t="shared" si="2" ref="F5:F58">D5*E5/1000</f>
        <v>40.3</v>
      </c>
      <c r="G5" s="217"/>
      <c r="H5" s="49">
        <f aca="true" t="shared" si="3" ref="H5:H58">G5*D5/1000</f>
        <v>0</v>
      </c>
      <c r="I5" s="217">
        <v>116</v>
      </c>
      <c r="J5" s="49">
        <f aca="true" t="shared" si="4" ref="J5:J58">I5*D5/1000</f>
        <v>33.87</v>
      </c>
      <c r="K5" s="217"/>
      <c r="L5" s="49">
        <f aca="true" t="shared" si="5" ref="L5:L58">K5*D5/1000</f>
        <v>0</v>
      </c>
      <c r="M5" s="223"/>
      <c r="N5" s="49">
        <f aca="true" t="shared" si="6" ref="N5:N58">D5*M5/1000</f>
        <v>0</v>
      </c>
      <c r="O5" s="217"/>
      <c r="P5" s="49">
        <f aca="true" t="shared" si="7" ref="P5:P58">O5*D5/1000</f>
        <v>0</v>
      </c>
      <c r="Q5" s="217">
        <v>132</v>
      </c>
      <c r="R5" s="49">
        <f aca="true" t="shared" si="8" ref="R5:R58">D5*Q5/1000</f>
        <v>38.54</v>
      </c>
      <c r="S5" s="217"/>
      <c r="T5" s="49">
        <f aca="true" t="shared" si="9" ref="T5:T58">D5*S5/1000</f>
        <v>0</v>
      </c>
      <c r="U5" s="217"/>
      <c r="V5" s="49">
        <f aca="true" t="shared" si="10" ref="V5:V58">D5*U5/1000</f>
        <v>0</v>
      </c>
      <c r="W5" s="223"/>
      <c r="X5" s="49">
        <f aca="true" t="shared" si="11" ref="X5:X58">D5*W5/1000</f>
        <v>0</v>
      </c>
      <c r="Y5" s="56">
        <f t="shared" si="0"/>
        <v>386</v>
      </c>
      <c r="Z5" s="49">
        <f aca="true" t="shared" si="12" ref="Z5:Z59">Y5*D5/1000</f>
        <v>112.71</v>
      </c>
      <c r="AA5" s="93">
        <f t="shared" si="1"/>
        <v>1930</v>
      </c>
      <c r="AB5" s="93"/>
      <c r="AC5" s="48">
        <f>(Y5+завтрак!Y5)/10</f>
        <v>70.4</v>
      </c>
    </row>
    <row r="6" spans="1:29" ht="15" customHeight="1">
      <c r="A6" s="52">
        <v>4</v>
      </c>
      <c r="B6" s="50">
        <f>завтрак!B6</f>
        <v>0</v>
      </c>
      <c r="C6" s="51">
        <f>завтрак!C6</f>
        <v>0</v>
      </c>
      <c r="D6" s="77">
        <f>завтрак!D6</f>
        <v>0</v>
      </c>
      <c r="E6" s="217"/>
      <c r="F6" s="49">
        <f t="shared" si="2"/>
        <v>0</v>
      </c>
      <c r="G6" s="217"/>
      <c r="H6" s="49">
        <f t="shared" si="3"/>
        <v>0</v>
      </c>
      <c r="I6" s="217"/>
      <c r="J6" s="49">
        <f t="shared" si="4"/>
        <v>0</v>
      </c>
      <c r="K6" s="217"/>
      <c r="L6" s="49">
        <f t="shared" si="5"/>
        <v>0</v>
      </c>
      <c r="M6" s="223"/>
      <c r="N6" s="49">
        <f t="shared" si="6"/>
        <v>0</v>
      </c>
      <c r="O6" s="217"/>
      <c r="P6" s="49">
        <f t="shared" si="7"/>
        <v>0</v>
      </c>
      <c r="Q6" s="217"/>
      <c r="R6" s="49">
        <f t="shared" si="8"/>
        <v>0</v>
      </c>
      <c r="S6" s="217"/>
      <c r="T6" s="49">
        <f t="shared" si="9"/>
        <v>0</v>
      </c>
      <c r="U6" s="217"/>
      <c r="V6" s="49">
        <f t="shared" si="10"/>
        <v>0</v>
      </c>
      <c r="W6" s="223"/>
      <c r="X6" s="49">
        <f t="shared" si="11"/>
        <v>0</v>
      </c>
      <c r="Y6" s="56">
        <f t="shared" si="0"/>
        <v>0</v>
      </c>
      <c r="Z6" s="49">
        <f t="shared" si="12"/>
        <v>0</v>
      </c>
      <c r="AA6" s="93">
        <f t="shared" si="1"/>
        <v>0</v>
      </c>
      <c r="AB6" s="93"/>
      <c r="AC6" s="48">
        <f>(Y6+завтрак!Y6)/10</f>
        <v>0</v>
      </c>
    </row>
    <row r="7" spans="1:29" ht="15">
      <c r="A7" s="52">
        <v>5</v>
      </c>
      <c r="B7" s="50">
        <f>завтрак!B7</f>
        <v>0</v>
      </c>
      <c r="C7" s="51">
        <f>завтрак!C7</f>
        <v>0</v>
      </c>
      <c r="D7" s="77">
        <f>завтрак!D7</f>
        <v>0</v>
      </c>
      <c r="E7" s="217"/>
      <c r="F7" s="49">
        <f t="shared" si="2"/>
        <v>0</v>
      </c>
      <c r="G7" s="217"/>
      <c r="H7" s="49">
        <f t="shared" si="3"/>
        <v>0</v>
      </c>
      <c r="I7" s="217"/>
      <c r="J7" s="49">
        <f t="shared" si="4"/>
        <v>0</v>
      </c>
      <c r="K7" s="217"/>
      <c r="L7" s="49">
        <f t="shared" si="5"/>
        <v>0</v>
      </c>
      <c r="M7" s="223"/>
      <c r="N7" s="49">
        <f t="shared" si="6"/>
        <v>0</v>
      </c>
      <c r="O7" s="217"/>
      <c r="P7" s="49">
        <f t="shared" si="7"/>
        <v>0</v>
      </c>
      <c r="Q7" s="217"/>
      <c r="R7" s="49">
        <f t="shared" si="8"/>
        <v>0</v>
      </c>
      <c r="S7" s="217"/>
      <c r="T7" s="49">
        <f t="shared" si="9"/>
        <v>0</v>
      </c>
      <c r="U7" s="217"/>
      <c r="V7" s="49">
        <f t="shared" si="10"/>
        <v>0</v>
      </c>
      <c r="W7" s="223"/>
      <c r="X7" s="49">
        <f t="shared" si="11"/>
        <v>0</v>
      </c>
      <c r="Y7" s="56">
        <f t="shared" si="0"/>
        <v>0</v>
      </c>
      <c r="Z7" s="49">
        <f t="shared" si="12"/>
        <v>0</v>
      </c>
      <c r="AA7" s="93">
        <f t="shared" si="1"/>
        <v>0</v>
      </c>
      <c r="AB7" s="93"/>
      <c r="AC7" s="48">
        <f>(Y7+завтрак!Y7)/10</f>
        <v>0</v>
      </c>
    </row>
    <row r="8" spans="1:29" ht="15">
      <c r="A8" s="52">
        <v>6</v>
      </c>
      <c r="B8" s="50" t="str">
        <f>завтрак!B8</f>
        <v>Молоко пастеризованное (2,5%)</v>
      </c>
      <c r="C8" s="51" t="str">
        <f>завтрак!C8</f>
        <v>л</v>
      </c>
      <c r="D8" s="77">
        <f>завтрак!D8</f>
        <v>72</v>
      </c>
      <c r="E8" s="217"/>
      <c r="F8" s="49">
        <f t="shared" si="2"/>
        <v>0</v>
      </c>
      <c r="G8" s="217"/>
      <c r="H8" s="49">
        <f t="shared" si="3"/>
        <v>0</v>
      </c>
      <c r="I8" s="217"/>
      <c r="J8" s="49">
        <f t="shared" si="4"/>
        <v>0</v>
      </c>
      <c r="K8" s="217"/>
      <c r="L8" s="49">
        <f t="shared" si="5"/>
        <v>0</v>
      </c>
      <c r="M8" s="223"/>
      <c r="N8" s="49">
        <f t="shared" si="6"/>
        <v>0</v>
      </c>
      <c r="O8" s="217"/>
      <c r="P8" s="49">
        <f t="shared" si="7"/>
        <v>0</v>
      </c>
      <c r="Q8" s="217"/>
      <c r="R8" s="49">
        <f t="shared" si="8"/>
        <v>0</v>
      </c>
      <c r="S8" s="217">
        <v>30</v>
      </c>
      <c r="T8" s="49">
        <f t="shared" si="9"/>
        <v>2.16</v>
      </c>
      <c r="U8" s="217"/>
      <c r="V8" s="49">
        <f t="shared" si="10"/>
        <v>0</v>
      </c>
      <c r="W8" s="223"/>
      <c r="X8" s="49">
        <f t="shared" si="11"/>
        <v>0</v>
      </c>
      <c r="Y8" s="56">
        <f t="shared" si="0"/>
        <v>30</v>
      </c>
      <c r="Z8" s="49">
        <f t="shared" si="12"/>
        <v>2.16</v>
      </c>
      <c r="AA8" s="93">
        <f t="shared" si="1"/>
        <v>150</v>
      </c>
      <c r="AB8" s="93"/>
      <c r="AC8" s="48">
        <f>(Y8+завтрак!Y8)/10</f>
        <v>27.2</v>
      </c>
    </row>
    <row r="9" spans="1:29" ht="15">
      <c r="A9" s="52">
        <v>7</v>
      </c>
      <c r="B9" s="50" t="str">
        <f>завтрак!B9</f>
        <v>Масло сливочное (72,5%)</v>
      </c>
      <c r="C9" s="51" t="str">
        <f>завтрак!C9</f>
        <v>кг</v>
      </c>
      <c r="D9" s="77">
        <f>завтрак!D9</f>
        <v>467</v>
      </c>
      <c r="E9" s="217">
        <v>7</v>
      </c>
      <c r="F9" s="49">
        <f t="shared" si="2"/>
        <v>3.27</v>
      </c>
      <c r="G9" s="217">
        <f>2+6</f>
        <v>8</v>
      </c>
      <c r="H9" s="49">
        <f t="shared" si="3"/>
        <v>3.74</v>
      </c>
      <c r="I9" s="217">
        <f>2+5</f>
        <v>7</v>
      </c>
      <c r="J9" s="49">
        <f t="shared" si="4"/>
        <v>3.27</v>
      </c>
      <c r="K9" s="217"/>
      <c r="L9" s="49">
        <f t="shared" si="5"/>
        <v>0</v>
      </c>
      <c r="M9" s="223">
        <f>5+8</f>
        <v>13</v>
      </c>
      <c r="N9" s="49">
        <f t="shared" si="6"/>
        <v>6.07</v>
      </c>
      <c r="O9" s="217">
        <v>10</v>
      </c>
      <c r="P9" s="49">
        <f t="shared" si="7"/>
        <v>4.67</v>
      </c>
      <c r="Q9" s="217"/>
      <c r="R9" s="49">
        <f t="shared" si="8"/>
        <v>0</v>
      </c>
      <c r="S9" s="217">
        <v>5</v>
      </c>
      <c r="T9" s="49">
        <f t="shared" si="9"/>
        <v>2.34</v>
      </c>
      <c r="U9" s="217">
        <v>7</v>
      </c>
      <c r="V9" s="49">
        <f t="shared" si="10"/>
        <v>3.27</v>
      </c>
      <c r="W9" s="223">
        <f>5+5</f>
        <v>10</v>
      </c>
      <c r="X9" s="49">
        <f t="shared" si="11"/>
        <v>4.67</v>
      </c>
      <c r="Y9" s="56">
        <f t="shared" si="0"/>
        <v>67</v>
      </c>
      <c r="Z9" s="49">
        <f t="shared" si="12"/>
        <v>31.29</v>
      </c>
      <c r="AA9" s="93">
        <f t="shared" si="1"/>
        <v>335</v>
      </c>
      <c r="AB9" s="93"/>
      <c r="AC9" s="48">
        <f>(Y9+завтрак!Y9)/10</f>
        <v>17.1</v>
      </c>
    </row>
    <row r="10" spans="1:29" ht="15">
      <c r="A10" s="52">
        <v>8</v>
      </c>
      <c r="B10" s="50" t="str">
        <f>завтрак!B10</f>
        <v>Сметана (15%)</v>
      </c>
      <c r="C10" s="51" t="str">
        <f>завтрак!C10</f>
        <v>кг</v>
      </c>
      <c r="D10" s="77">
        <f>завтрак!D10</f>
        <v>199</v>
      </c>
      <c r="E10" s="217">
        <f>10+8</f>
        <v>18</v>
      </c>
      <c r="F10" s="49">
        <f t="shared" si="2"/>
        <v>3.58</v>
      </c>
      <c r="G10" s="217"/>
      <c r="H10" s="49">
        <f t="shared" si="3"/>
        <v>0</v>
      </c>
      <c r="I10" s="217">
        <v>11</v>
      </c>
      <c r="J10" s="49">
        <f t="shared" si="4"/>
        <v>2.19</v>
      </c>
      <c r="K10" s="217">
        <v>10</v>
      </c>
      <c r="L10" s="49">
        <f t="shared" si="5"/>
        <v>1.99</v>
      </c>
      <c r="M10" s="223"/>
      <c r="N10" s="49">
        <f t="shared" si="6"/>
        <v>0</v>
      </c>
      <c r="O10" s="217">
        <v>10</v>
      </c>
      <c r="P10" s="49">
        <f t="shared" si="7"/>
        <v>1.99</v>
      </c>
      <c r="Q10" s="217"/>
      <c r="R10" s="49">
        <f t="shared" si="8"/>
        <v>0</v>
      </c>
      <c r="S10" s="217"/>
      <c r="T10" s="49">
        <f t="shared" si="9"/>
        <v>0</v>
      </c>
      <c r="U10" s="217">
        <v>13</v>
      </c>
      <c r="V10" s="49">
        <f t="shared" si="10"/>
        <v>2.59</v>
      </c>
      <c r="W10" s="223">
        <f>10+13</f>
        <v>23</v>
      </c>
      <c r="X10" s="49">
        <f t="shared" si="11"/>
        <v>4.58</v>
      </c>
      <c r="Y10" s="56">
        <f t="shared" si="0"/>
        <v>85</v>
      </c>
      <c r="Z10" s="49">
        <f t="shared" si="12"/>
        <v>16.92</v>
      </c>
      <c r="AA10" s="93">
        <f t="shared" si="1"/>
        <v>425</v>
      </c>
      <c r="AB10" s="93"/>
      <c r="AC10" s="48">
        <f>(Y10+завтрак!Y10)/10</f>
        <v>13.5</v>
      </c>
    </row>
    <row r="11" spans="1:29" ht="15">
      <c r="A11" s="52">
        <v>9</v>
      </c>
      <c r="B11" s="50" t="str">
        <f>завтрак!B11</f>
        <v>Творог (5%)</v>
      </c>
      <c r="C11" s="51" t="str">
        <f>завтрак!C11</f>
        <v>кг</v>
      </c>
      <c r="D11" s="77">
        <f>завтрак!D11</f>
        <v>217</v>
      </c>
      <c r="E11" s="217"/>
      <c r="F11" s="49">
        <f t="shared" si="2"/>
        <v>0</v>
      </c>
      <c r="G11" s="217"/>
      <c r="H11" s="49">
        <f t="shared" si="3"/>
        <v>0</v>
      </c>
      <c r="I11" s="217"/>
      <c r="J11" s="49">
        <f t="shared" si="4"/>
        <v>0</v>
      </c>
      <c r="K11" s="217"/>
      <c r="L11" s="49">
        <f t="shared" si="5"/>
        <v>0</v>
      </c>
      <c r="M11" s="223"/>
      <c r="N11" s="49">
        <f t="shared" si="6"/>
        <v>0</v>
      </c>
      <c r="O11" s="217"/>
      <c r="P11" s="49">
        <f t="shared" si="7"/>
        <v>0</v>
      </c>
      <c r="Q11" s="217"/>
      <c r="R11" s="49">
        <f t="shared" si="8"/>
        <v>0</v>
      </c>
      <c r="S11" s="217"/>
      <c r="T11" s="49">
        <f t="shared" si="9"/>
        <v>0</v>
      </c>
      <c r="U11" s="217"/>
      <c r="V11" s="49">
        <f t="shared" si="10"/>
        <v>0</v>
      </c>
      <c r="W11" s="223"/>
      <c r="X11" s="49">
        <f t="shared" si="11"/>
        <v>0</v>
      </c>
      <c r="Y11" s="56">
        <f t="shared" si="0"/>
        <v>0</v>
      </c>
      <c r="Z11" s="49">
        <f t="shared" si="12"/>
        <v>0</v>
      </c>
      <c r="AA11" s="93">
        <f t="shared" si="1"/>
        <v>0</v>
      </c>
      <c r="AB11" s="93"/>
      <c r="AC11" s="48">
        <f>(Y11+завтрак!Y11)/10</f>
        <v>17.2</v>
      </c>
    </row>
    <row r="12" spans="1:29" ht="15">
      <c r="A12" s="52">
        <v>10</v>
      </c>
      <c r="B12" s="50" t="str">
        <f>завтрак!B12</f>
        <v>Сыр твердый (45%)</v>
      </c>
      <c r="C12" s="51" t="str">
        <f>завтрак!C12</f>
        <v>кг</v>
      </c>
      <c r="D12" s="77">
        <f>завтрак!D12</f>
        <v>543</v>
      </c>
      <c r="E12" s="217">
        <v>15</v>
      </c>
      <c r="F12" s="49">
        <f t="shared" si="2"/>
        <v>8.15</v>
      </c>
      <c r="G12" s="217"/>
      <c r="H12" s="49">
        <f t="shared" si="3"/>
        <v>0</v>
      </c>
      <c r="I12" s="217"/>
      <c r="J12" s="49">
        <f t="shared" si="4"/>
        <v>0</v>
      </c>
      <c r="K12" s="217">
        <v>19</v>
      </c>
      <c r="L12" s="49">
        <f t="shared" si="5"/>
        <v>10.32</v>
      </c>
      <c r="M12" s="223"/>
      <c r="N12" s="49">
        <f t="shared" si="6"/>
        <v>0</v>
      </c>
      <c r="O12" s="217"/>
      <c r="P12" s="49">
        <f t="shared" si="7"/>
        <v>0</v>
      </c>
      <c r="Q12" s="217"/>
      <c r="R12" s="49">
        <f t="shared" si="8"/>
        <v>0</v>
      </c>
      <c r="S12" s="217"/>
      <c r="T12" s="49">
        <f t="shared" si="9"/>
        <v>0</v>
      </c>
      <c r="U12" s="217"/>
      <c r="V12" s="49">
        <f t="shared" si="10"/>
        <v>0</v>
      </c>
      <c r="W12" s="223"/>
      <c r="X12" s="49">
        <f t="shared" si="11"/>
        <v>0</v>
      </c>
      <c r="Y12" s="56">
        <f t="shared" si="0"/>
        <v>34</v>
      </c>
      <c r="Z12" s="49">
        <f t="shared" si="12"/>
        <v>18.46</v>
      </c>
      <c r="AA12" s="93">
        <f t="shared" si="1"/>
        <v>170</v>
      </c>
      <c r="AB12" s="93"/>
      <c r="AC12" s="48">
        <f>(Y12+завтрак!Y12)/10</f>
        <v>8.6</v>
      </c>
    </row>
    <row r="13" spans="1:29" ht="30">
      <c r="A13" s="52">
        <v>11</v>
      </c>
      <c r="B13" s="50" t="str">
        <f>завтрак!B13</f>
        <v>Молоко сгущенное цельное с сахаром (8,5%)</v>
      </c>
      <c r="C13" s="51" t="str">
        <f>завтрак!C13</f>
        <v>кг</v>
      </c>
      <c r="D13" s="77">
        <f>завтрак!D13</f>
        <v>247</v>
      </c>
      <c r="E13" s="217"/>
      <c r="F13" s="49">
        <f t="shared" si="2"/>
        <v>0</v>
      </c>
      <c r="G13" s="217"/>
      <c r="H13" s="49">
        <f t="shared" si="3"/>
        <v>0</v>
      </c>
      <c r="I13" s="217"/>
      <c r="J13" s="49">
        <f t="shared" si="4"/>
        <v>0</v>
      </c>
      <c r="K13" s="217"/>
      <c r="L13" s="49">
        <f t="shared" si="5"/>
        <v>0</v>
      </c>
      <c r="M13" s="223"/>
      <c r="N13" s="49">
        <f t="shared" si="6"/>
        <v>0</v>
      </c>
      <c r="O13" s="217"/>
      <c r="P13" s="49">
        <f t="shared" si="7"/>
        <v>0</v>
      </c>
      <c r="Q13" s="217"/>
      <c r="R13" s="49">
        <f t="shared" si="8"/>
        <v>0</v>
      </c>
      <c r="S13" s="217"/>
      <c r="T13" s="49">
        <f t="shared" si="9"/>
        <v>0</v>
      </c>
      <c r="U13" s="217"/>
      <c r="V13" s="49">
        <f t="shared" si="10"/>
        <v>0</v>
      </c>
      <c r="W13" s="223"/>
      <c r="X13" s="49">
        <f t="shared" si="11"/>
        <v>0</v>
      </c>
      <c r="Y13" s="56">
        <f t="shared" si="0"/>
        <v>0</v>
      </c>
      <c r="Z13" s="49">
        <f t="shared" si="12"/>
        <v>0</v>
      </c>
      <c r="AA13" s="93">
        <f t="shared" si="1"/>
        <v>0</v>
      </c>
      <c r="AB13" s="93"/>
      <c r="AC13" s="48">
        <f>(Y13+завтрак!Y13)/10</f>
        <v>3</v>
      </c>
    </row>
    <row r="14" spans="1:29" ht="15">
      <c r="A14" s="52">
        <v>12</v>
      </c>
      <c r="B14" s="50" t="str">
        <f>завтрак!B14</f>
        <v>Картофель (1 сорт)</v>
      </c>
      <c r="C14" s="51" t="str">
        <f>завтрак!C14</f>
        <v>кг</v>
      </c>
      <c r="D14" s="77">
        <f>завтрак!D14</f>
        <v>54</v>
      </c>
      <c r="E14" s="217">
        <v>68</v>
      </c>
      <c r="F14" s="49">
        <f t="shared" si="2"/>
        <v>3.67</v>
      </c>
      <c r="G14" s="217">
        <v>107</v>
      </c>
      <c r="H14" s="49">
        <f t="shared" si="3"/>
        <v>5.78</v>
      </c>
      <c r="I14" s="217">
        <v>79</v>
      </c>
      <c r="J14" s="49">
        <f t="shared" si="4"/>
        <v>4.27</v>
      </c>
      <c r="K14" s="217">
        <f>30+290+24</f>
        <v>344</v>
      </c>
      <c r="L14" s="49">
        <f t="shared" si="5"/>
        <v>18.58</v>
      </c>
      <c r="M14" s="223">
        <v>78</v>
      </c>
      <c r="N14" s="49">
        <f t="shared" si="6"/>
        <v>4.21</v>
      </c>
      <c r="O14" s="217">
        <v>96</v>
      </c>
      <c r="P14" s="49">
        <f t="shared" si="7"/>
        <v>5.18</v>
      </c>
      <c r="Q14" s="217">
        <v>60</v>
      </c>
      <c r="R14" s="49">
        <f t="shared" si="8"/>
        <v>3.24</v>
      </c>
      <c r="S14" s="217">
        <f>100+214</f>
        <v>314</v>
      </c>
      <c r="T14" s="49">
        <f t="shared" si="9"/>
        <v>16.96</v>
      </c>
      <c r="U14" s="217">
        <v>104</v>
      </c>
      <c r="V14" s="49">
        <f t="shared" si="10"/>
        <v>5.62</v>
      </c>
      <c r="W14" s="223">
        <v>31</v>
      </c>
      <c r="X14" s="49">
        <v>1.68</v>
      </c>
      <c r="Y14" s="56">
        <f t="shared" si="0"/>
        <v>1281</v>
      </c>
      <c r="Z14" s="49">
        <f t="shared" si="12"/>
        <v>69.17</v>
      </c>
      <c r="AA14" s="93">
        <f t="shared" si="1"/>
        <v>6405</v>
      </c>
      <c r="AB14" s="93"/>
      <c r="AC14" s="48">
        <f>(Y14+завтрак!Y14)/10</f>
        <v>180.9</v>
      </c>
    </row>
    <row r="15" spans="1:29" ht="15.75" customHeight="1">
      <c r="A15" s="52">
        <v>13</v>
      </c>
      <c r="B15" s="50" t="str">
        <f>завтрак!B15</f>
        <v>Капуста белокачанная (1 сорт)</v>
      </c>
      <c r="C15" s="51" t="str">
        <f>завтрак!C15</f>
        <v>кг</v>
      </c>
      <c r="D15" s="77">
        <f>завтрак!D15</f>
        <v>57</v>
      </c>
      <c r="E15" s="217"/>
      <c r="F15" s="49">
        <f t="shared" si="2"/>
        <v>0</v>
      </c>
      <c r="G15" s="217"/>
      <c r="H15" s="49">
        <f t="shared" si="3"/>
        <v>0</v>
      </c>
      <c r="I15" s="217"/>
      <c r="J15" s="49">
        <f t="shared" si="4"/>
        <v>0</v>
      </c>
      <c r="K15" s="217">
        <v>20</v>
      </c>
      <c r="L15" s="49">
        <f t="shared" si="5"/>
        <v>1.14</v>
      </c>
      <c r="M15" s="223"/>
      <c r="N15" s="49">
        <f t="shared" si="6"/>
        <v>0</v>
      </c>
      <c r="O15" s="217"/>
      <c r="P15" s="49">
        <f t="shared" si="7"/>
        <v>0</v>
      </c>
      <c r="Q15" s="217"/>
      <c r="R15" s="49">
        <f t="shared" si="8"/>
        <v>0</v>
      </c>
      <c r="S15" s="217"/>
      <c r="T15" s="49">
        <f t="shared" si="9"/>
        <v>0</v>
      </c>
      <c r="U15" s="217"/>
      <c r="V15" s="49">
        <f t="shared" si="10"/>
        <v>0</v>
      </c>
      <c r="W15" s="223">
        <v>23</v>
      </c>
      <c r="X15" s="49">
        <f t="shared" si="11"/>
        <v>1.31</v>
      </c>
      <c r="Y15" s="56">
        <f t="shared" si="0"/>
        <v>43</v>
      </c>
      <c r="Z15" s="49">
        <f t="shared" si="12"/>
        <v>2.45</v>
      </c>
      <c r="AA15" s="93">
        <f t="shared" si="1"/>
        <v>215</v>
      </c>
      <c r="AB15" s="93"/>
      <c r="AC15" s="48">
        <f>(Y15+завтрак!Y15)/10</f>
        <v>4.3</v>
      </c>
    </row>
    <row r="16" spans="1:29" ht="14.25" customHeight="1">
      <c r="A16" s="52">
        <v>14</v>
      </c>
      <c r="B16" s="50" t="str">
        <f>завтрак!B16</f>
        <v>Лук репчатый (1 сорт)</v>
      </c>
      <c r="C16" s="51" t="str">
        <f>завтрак!C16</f>
        <v>кг</v>
      </c>
      <c r="D16" s="77">
        <f>завтрак!D16</f>
        <v>49</v>
      </c>
      <c r="E16" s="217">
        <v>12</v>
      </c>
      <c r="F16" s="49">
        <f t="shared" si="2"/>
        <v>0.59</v>
      </c>
      <c r="G16" s="217">
        <f>14+9</f>
        <v>23</v>
      </c>
      <c r="H16" s="49">
        <f t="shared" si="3"/>
        <v>1.13</v>
      </c>
      <c r="I16" s="217">
        <f>11+5</f>
        <v>16</v>
      </c>
      <c r="J16" s="49">
        <f t="shared" si="4"/>
        <v>0.78</v>
      </c>
      <c r="K16" s="217">
        <f>10+25+11</f>
        <v>46</v>
      </c>
      <c r="L16" s="49">
        <f t="shared" si="5"/>
        <v>2.25</v>
      </c>
      <c r="M16" s="223">
        <f>13+13</f>
        <v>26</v>
      </c>
      <c r="N16" s="49">
        <f t="shared" si="6"/>
        <v>1.27</v>
      </c>
      <c r="O16" s="217">
        <f>10+15</f>
        <v>25</v>
      </c>
      <c r="P16" s="49">
        <f t="shared" si="7"/>
        <v>1.23</v>
      </c>
      <c r="Q16" s="217">
        <f>10+15</f>
        <v>25</v>
      </c>
      <c r="R16" s="49">
        <f t="shared" si="8"/>
        <v>1.23</v>
      </c>
      <c r="S16" s="217">
        <v>3</v>
      </c>
      <c r="T16" s="49">
        <f t="shared" si="9"/>
        <v>0.15</v>
      </c>
      <c r="U16" s="217">
        <f>9+12</f>
        <v>21</v>
      </c>
      <c r="V16" s="49">
        <f t="shared" si="10"/>
        <v>1.03</v>
      </c>
      <c r="W16" s="223">
        <f>10+17</f>
        <v>27</v>
      </c>
      <c r="X16" s="49">
        <f t="shared" si="11"/>
        <v>1.32</v>
      </c>
      <c r="Y16" s="56">
        <f t="shared" si="0"/>
        <v>224</v>
      </c>
      <c r="Z16" s="49">
        <f t="shared" si="12"/>
        <v>10.98</v>
      </c>
      <c r="AA16" s="93">
        <f t="shared" si="1"/>
        <v>1120</v>
      </c>
      <c r="AB16" s="93"/>
      <c r="AC16" s="48">
        <f>(Y16+завтрак!Y16)/10</f>
        <v>34.7</v>
      </c>
    </row>
    <row r="17" spans="1:29" ht="15">
      <c r="A17" s="52">
        <v>15</v>
      </c>
      <c r="B17" s="50" t="str">
        <f>завтрак!B17</f>
        <v>Морковь (1 сорт)</v>
      </c>
      <c r="C17" s="51" t="str">
        <f>завтрак!C17</f>
        <v>кг</v>
      </c>
      <c r="D17" s="77">
        <f>завтрак!D17</f>
        <v>60</v>
      </c>
      <c r="E17" s="217">
        <v>13</v>
      </c>
      <c r="F17" s="49">
        <f t="shared" si="2"/>
        <v>0.78</v>
      </c>
      <c r="G17" s="217">
        <f>15+14</f>
        <v>29</v>
      </c>
      <c r="H17" s="49">
        <f t="shared" si="3"/>
        <v>1.74</v>
      </c>
      <c r="I17" s="217">
        <v>13</v>
      </c>
      <c r="J17" s="49">
        <f t="shared" si="4"/>
        <v>0.78</v>
      </c>
      <c r="K17" s="217">
        <f>10+9</f>
        <v>19</v>
      </c>
      <c r="L17" s="49">
        <f t="shared" si="5"/>
        <v>1.14</v>
      </c>
      <c r="M17" s="223">
        <f>13</f>
        <v>13</v>
      </c>
      <c r="N17" s="49">
        <v>0.8</v>
      </c>
      <c r="O17" s="217">
        <f>10</f>
        <v>10</v>
      </c>
      <c r="P17" s="49">
        <f t="shared" si="7"/>
        <v>0.6</v>
      </c>
      <c r="Q17" s="217">
        <f>10+15</f>
        <v>25</v>
      </c>
      <c r="R17" s="49">
        <f t="shared" si="8"/>
        <v>1.5</v>
      </c>
      <c r="S17" s="217">
        <v>20</v>
      </c>
      <c r="T17" s="49">
        <f t="shared" si="9"/>
        <v>1.2</v>
      </c>
      <c r="U17" s="217">
        <v>11</v>
      </c>
      <c r="V17" s="49">
        <f t="shared" si="10"/>
        <v>0.66</v>
      </c>
      <c r="W17" s="223">
        <f>10</f>
        <v>10</v>
      </c>
      <c r="X17" s="49">
        <f t="shared" si="11"/>
        <v>0.6</v>
      </c>
      <c r="Y17" s="56">
        <f t="shared" si="0"/>
        <v>163</v>
      </c>
      <c r="Z17" s="49">
        <f t="shared" si="12"/>
        <v>9.78</v>
      </c>
      <c r="AA17" s="93">
        <f t="shared" si="1"/>
        <v>815</v>
      </c>
      <c r="AB17" s="93"/>
      <c r="AC17" s="48">
        <f>(Y17+завтрак!Y17)/10</f>
        <v>20.2</v>
      </c>
    </row>
    <row r="18" spans="1:29" ht="15">
      <c r="A18" s="52">
        <v>16</v>
      </c>
      <c r="B18" s="50" t="str">
        <f>завтрак!B18</f>
        <v>Свекла (1 сорт)</v>
      </c>
      <c r="C18" s="51" t="str">
        <f>завтрак!C18</f>
        <v>кг</v>
      </c>
      <c r="D18" s="77">
        <f>завтрак!D18</f>
        <v>51</v>
      </c>
      <c r="E18" s="217">
        <v>82</v>
      </c>
      <c r="F18" s="49">
        <f t="shared" si="2"/>
        <v>4.18</v>
      </c>
      <c r="G18" s="217"/>
      <c r="H18" s="49">
        <f t="shared" si="3"/>
        <v>0</v>
      </c>
      <c r="I18" s="217">
        <v>46</v>
      </c>
      <c r="J18" s="49">
        <f t="shared" si="4"/>
        <v>2.35</v>
      </c>
      <c r="K18" s="217">
        <f>39+17</f>
        <v>56</v>
      </c>
      <c r="L18" s="49">
        <v>2.88</v>
      </c>
      <c r="M18" s="223"/>
      <c r="N18" s="49">
        <f t="shared" si="6"/>
        <v>0</v>
      </c>
      <c r="O18" s="217"/>
      <c r="P18" s="49">
        <f t="shared" si="7"/>
        <v>0</v>
      </c>
      <c r="Q18" s="217">
        <v>71</v>
      </c>
      <c r="R18" s="49">
        <f t="shared" si="8"/>
        <v>3.62</v>
      </c>
      <c r="S18" s="217"/>
      <c r="T18" s="49">
        <f t="shared" si="9"/>
        <v>0</v>
      </c>
      <c r="U18" s="217"/>
      <c r="V18" s="49">
        <f t="shared" si="10"/>
        <v>0</v>
      </c>
      <c r="W18" s="223">
        <v>45</v>
      </c>
      <c r="X18" s="49">
        <f t="shared" si="11"/>
        <v>2.3</v>
      </c>
      <c r="Y18" s="56">
        <f t="shared" si="0"/>
        <v>300</v>
      </c>
      <c r="Z18" s="49">
        <f t="shared" si="12"/>
        <v>15.3</v>
      </c>
      <c r="AA18" s="93">
        <f t="shared" si="1"/>
        <v>1500</v>
      </c>
      <c r="AB18" s="93"/>
      <c r="AC18" s="48">
        <f>(Y18+завтрак!Y18)/10</f>
        <v>38.9</v>
      </c>
    </row>
    <row r="19" spans="1:29" ht="30">
      <c r="A19" s="52">
        <v>17</v>
      </c>
      <c r="B19" s="50" t="str">
        <f>завтрак!B19</f>
        <v>Огурцы консервированные без уксуса (1 с)</v>
      </c>
      <c r="C19" s="51" t="str">
        <f>завтрак!C19</f>
        <v>кг</v>
      </c>
      <c r="D19" s="77">
        <f>завтрак!D19</f>
        <v>74</v>
      </c>
      <c r="E19" s="217"/>
      <c r="F19" s="49">
        <f t="shared" si="2"/>
        <v>0</v>
      </c>
      <c r="G19" s="217"/>
      <c r="H19" s="49">
        <f t="shared" si="3"/>
        <v>0</v>
      </c>
      <c r="I19" s="217"/>
      <c r="J19" s="49">
        <f t="shared" si="4"/>
        <v>0</v>
      </c>
      <c r="K19" s="217">
        <v>22</v>
      </c>
      <c r="L19" s="49">
        <f t="shared" si="5"/>
        <v>1.63</v>
      </c>
      <c r="M19" s="223"/>
      <c r="N19" s="49">
        <f t="shared" si="6"/>
        <v>0</v>
      </c>
      <c r="O19" s="217">
        <v>20</v>
      </c>
      <c r="P19" s="49">
        <f t="shared" si="7"/>
        <v>1.48</v>
      </c>
      <c r="Q19" s="217"/>
      <c r="R19" s="49">
        <f t="shared" si="8"/>
        <v>0</v>
      </c>
      <c r="S19" s="217"/>
      <c r="T19" s="49">
        <f t="shared" si="9"/>
        <v>0</v>
      </c>
      <c r="U19" s="217"/>
      <c r="V19" s="49">
        <f t="shared" si="10"/>
        <v>0</v>
      </c>
      <c r="W19" s="223"/>
      <c r="X19" s="49">
        <f t="shared" si="11"/>
        <v>0</v>
      </c>
      <c r="Y19" s="56">
        <f>(E19+G19+I19+K19+M19+O19+Q19+S19+U19+W19)</f>
        <v>42</v>
      </c>
      <c r="Z19" s="49">
        <f t="shared" si="12"/>
        <v>3.11</v>
      </c>
      <c r="AA19" s="93">
        <f t="shared" si="1"/>
        <v>210</v>
      </c>
      <c r="AB19" s="93"/>
      <c r="AC19" s="48">
        <f>(Y19+завтрак!Y19)/10</f>
        <v>12.5</v>
      </c>
    </row>
    <row r="20" spans="1:29" ht="30">
      <c r="A20" s="52">
        <v>18</v>
      </c>
      <c r="B20" s="50" t="str">
        <f>завтрак!B20</f>
        <v>Икра кабачковая для дет. питания</v>
      </c>
      <c r="C20" s="51" t="str">
        <f>завтрак!C20</f>
        <v>кг</v>
      </c>
      <c r="D20" s="77">
        <f>завтрак!D20</f>
        <v>123</v>
      </c>
      <c r="E20" s="217"/>
      <c r="F20" s="49">
        <f t="shared" si="2"/>
        <v>0</v>
      </c>
      <c r="G20" s="217"/>
      <c r="H20" s="49">
        <f t="shared" si="3"/>
        <v>0</v>
      </c>
      <c r="I20" s="217"/>
      <c r="J20" s="49">
        <f t="shared" si="4"/>
        <v>0</v>
      </c>
      <c r="K20" s="217"/>
      <c r="L20" s="49">
        <f t="shared" si="5"/>
        <v>0</v>
      </c>
      <c r="M20" s="223"/>
      <c r="N20" s="49">
        <f t="shared" si="6"/>
        <v>0</v>
      </c>
      <c r="O20" s="217"/>
      <c r="P20" s="49">
        <f t="shared" si="7"/>
        <v>0</v>
      </c>
      <c r="Q20" s="217"/>
      <c r="R20" s="49">
        <f t="shared" si="8"/>
        <v>0</v>
      </c>
      <c r="S20" s="217"/>
      <c r="T20" s="49">
        <f t="shared" si="9"/>
        <v>0</v>
      </c>
      <c r="U20" s="217"/>
      <c r="V20" s="49">
        <f t="shared" si="10"/>
        <v>0</v>
      </c>
      <c r="W20" s="223"/>
      <c r="X20" s="49">
        <f t="shared" si="11"/>
        <v>0</v>
      </c>
      <c r="Y20" s="56">
        <f t="shared" si="0"/>
        <v>0</v>
      </c>
      <c r="Z20" s="49">
        <f t="shared" si="12"/>
        <v>0</v>
      </c>
      <c r="AA20" s="93">
        <f t="shared" si="1"/>
        <v>0</v>
      </c>
      <c r="AB20" s="93"/>
      <c r="AC20" s="48">
        <f>(Y20+завтрак!Y20)/10</f>
        <v>10</v>
      </c>
    </row>
    <row r="21" spans="1:29" ht="30">
      <c r="A21" s="52">
        <v>19</v>
      </c>
      <c r="B21" s="50" t="str">
        <f>завтрак!B21</f>
        <v>Горошек зеленый (сорт салатный)</v>
      </c>
      <c r="C21" s="51" t="str">
        <f>завтрак!C21</f>
        <v>кг</v>
      </c>
      <c r="D21" s="77">
        <f>завтрак!D21</f>
        <v>123</v>
      </c>
      <c r="E21" s="217"/>
      <c r="F21" s="49">
        <f t="shared" si="2"/>
        <v>0</v>
      </c>
      <c r="G21" s="217"/>
      <c r="H21" s="49">
        <f t="shared" si="3"/>
        <v>0</v>
      </c>
      <c r="I21" s="217">
        <v>36</v>
      </c>
      <c r="J21" s="49">
        <f t="shared" si="4"/>
        <v>4.43</v>
      </c>
      <c r="K21" s="217">
        <v>20</v>
      </c>
      <c r="L21" s="49">
        <f t="shared" si="5"/>
        <v>2.46</v>
      </c>
      <c r="M21" s="223"/>
      <c r="N21" s="49">
        <f t="shared" si="6"/>
        <v>0</v>
      </c>
      <c r="O21" s="217"/>
      <c r="P21" s="49">
        <f t="shared" si="7"/>
        <v>0</v>
      </c>
      <c r="Q21" s="217"/>
      <c r="R21" s="49">
        <f t="shared" si="8"/>
        <v>0</v>
      </c>
      <c r="S21" s="217"/>
      <c r="T21" s="49">
        <f t="shared" si="9"/>
        <v>0</v>
      </c>
      <c r="U21" s="217"/>
      <c r="V21" s="49">
        <f t="shared" si="10"/>
        <v>0</v>
      </c>
      <c r="W21" s="223"/>
      <c r="X21" s="49">
        <f t="shared" si="11"/>
        <v>0</v>
      </c>
      <c r="Y21" s="56">
        <f t="shared" si="0"/>
        <v>56</v>
      </c>
      <c r="Z21" s="49">
        <f t="shared" si="12"/>
        <v>6.89</v>
      </c>
      <c r="AA21" s="93">
        <f t="shared" si="1"/>
        <v>280</v>
      </c>
      <c r="AB21" s="93"/>
      <c r="AC21" s="48">
        <f>(Y21+завтрак!Y21)/10</f>
        <v>11.7</v>
      </c>
    </row>
    <row r="22" spans="1:29" ht="30">
      <c r="A22" s="52">
        <v>20</v>
      </c>
      <c r="B22" s="50" t="str">
        <f>завтрак!B22</f>
        <v>Томатная паста с содержанием с/в (25-30%)</v>
      </c>
      <c r="C22" s="51" t="str">
        <f>завтрак!C22</f>
        <v>кг</v>
      </c>
      <c r="D22" s="77">
        <f>завтрак!D22</f>
        <v>142</v>
      </c>
      <c r="E22" s="217">
        <v>3</v>
      </c>
      <c r="F22" s="49">
        <f t="shared" si="2"/>
        <v>0.43</v>
      </c>
      <c r="G22" s="217">
        <v>2</v>
      </c>
      <c r="H22" s="49">
        <f t="shared" si="3"/>
        <v>0.28</v>
      </c>
      <c r="I22" s="217">
        <v>5</v>
      </c>
      <c r="J22" s="49">
        <f t="shared" si="4"/>
        <v>0.71</v>
      </c>
      <c r="K22" s="217">
        <v>2</v>
      </c>
      <c r="L22" s="49">
        <f t="shared" si="5"/>
        <v>0.28</v>
      </c>
      <c r="M22" s="223"/>
      <c r="N22" s="49">
        <f t="shared" si="6"/>
        <v>0</v>
      </c>
      <c r="O22" s="217"/>
      <c r="P22" s="49">
        <f t="shared" si="7"/>
        <v>0</v>
      </c>
      <c r="Q22" s="217">
        <v>2</v>
      </c>
      <c r="R22" s="49">
        <f t="shared" si="8"/>
        <v>0.28</v>
      </c>
      <c r="S22" s="217"/>
      <c r="T22" s="49">
        <f t="shared" si="9"/>
        <v>0</v>
      </c>
      <c r="U22" s="217">
        <v>5</v>
      </c>
      <c r="V22" s="49">
        <f t="shared" si="10"/>
        <v>0.71</v>
      </c>
      <c r="W22" s="223">
        <v>2</v>
      </c>
      <c r="X22" s="49">
        <f t="shared" si="11"/>
        <v>0.28</v>
      </c>
      <c r="Y22" s="56">
        <f t="shared" si="0"/>
        <v>21</v>
      </c>
      <c r="Z22" s="49">
        <f t="shared" si="12"/>
        <v>2.98</v>
      </c>
      <c r="AA22" s="93">
        <f t="shared" si="1"/>
        <v>105</v>
      </c>
      <c r="AB22" s="93"/>
      <c r="AC22" s="48">
        <f>(Y22+завтрак!Y22)/10</f>
        <v>3.1</v>
      </c>
    </row>
    <row r="23" spans="1:29" ht="15">
      <c r="A23" s="52">
        <v>21</v>
      </c>
      <c r="B23" s="50" t="str">
        <f>завтрак!B23</f>
        <v>Яблоки свежие (1 сорт)</v>
      </c>
      <c r="C23" s="51" t="str">
        <f>завтрак!C23</f>
        <v>кг</v>
      </c>
      <c r="D23" s="77">
        <f>завтрак!D23</f>
        <v>110</v>
      </c>
      <c r="E23" s="217">
        <v>60</v>
      </c>
      <c r="F23" s="49">
        <f t="shared" si="2"/>
        <v>6.6</v>
      </c>
      <c r="G23" s="217"/>
      <c r="H23" s="49">
        <f t="shared" si="3"/>
        <v>0</v>
      </c>
      <c r="I23" s="217">
        <v>100</v>
      </c>
      <c r="J23" s="49">
        <f t="shared" si="4"/>
        <v>11</v>
      </c>
      <c r="K23" s="217"/>
      <c r="L23" s="49">
        <f t="shared" si="5"/>
        <v>0</v>
      </c>
      <c r="M23" s="223">
        <v>100</v>
      </c>
      <c r="N23" s="49">
        <f t="shared" si="6"/>
        <v>11</v>
      </c>
      <c r="O23" s="217">
        <v>55</v>
      </c>
      <c r="P23" s="49">
        <f t="shared" si="7"/>
        <v>6.05</v>
      </c>
      <c r="Q23" s="217"/>
      <c r="R23" s="49">
        <f t="shared" si="8"/>
        <v>0</v>
      </c>
      <c r="S23" s="217">
        <v>85</v>
      </c>
      <c r="T23" s="49">
        <f t="shared" si="9"/>
        <v>9.35</v>
      </c>
      <c r="U23" s="217"/>
      <c r="V23" s="49">
        <f t="shared" si="10"/>
        <v>0</v>
      </c>
      <c r="W23" s="223"/>
      <c r="X23" s="49">
        <f t="shared" si="11"/>
        <v>0</v>
      </c>
      <c r="Y23" s="56">
        <f t="shared" si="0"/>
        <v>400</v>
      </c>
      <c r="Z23" s="49">
        <f t="shared" si="12"/>
        <v>44</v>
      </c>
      <c r="AA23" s="93">
        <f t="shared" si="1"/>
        <v>2000</v>
      </c>
      <c r="AB23" s="93"/>
      <c r="AC23" s="48">
        <f>(Y23+завтрак!Y23)/10</f>
        <v>85</v>
      </c>
    </row>
    <row r="24" spans="1:29" ht="15">
      <c r="A24" s="52">
        <v>22</v>
      </c>
      <c r="B24" s="50" t="str">
        <f>завтрак!B24</f>
        <v>Бананы свежие (1 сорт)</v>
      </c>
      <c r="C24" s="51" t="str">
        <f>завтрак!C24</f>
        <v>кг</v>
      </c>
      <c r="D24" s="77">
        <f>завтрак!D24</f>
        <v>172</v>
      </c>
      <c r="E24" s="217"/>
      <c r="F24" s="49">
        <f t="shared" si="2"/>
        <v>0</v>
      </c>
      <c r="G24" s="217">
        <v>80</v>
      </c>
      <c r="H24" s="49">
        <f t="shared" si="3"/>
        <v>13.76</v>
      </c>
      <c r="I24" s="217"/>
      <c r="J24" s="49">
        <f t="shared" si="4"/>
        <v>0</v>
      </c>
      <c r="K24" s="217"/>
      <c r="L24" s="49">
        <f t="shared" si="5"/>
        <v>0</v>
      </c>
      <c r="M24" s="223"/>
      <c r="N24" s="49">
        <f t="shared" si="6"/>
        <v>0</v>
      </c>
      <c r="O24" s="217"/>
      <c r="P24" s="49">
        <f t="shared" si="7"/>
        <v>0</v>
      </c>
      <c r="Q24" s="217">
        <v>95</v>
      </c>
      <c r="R24" s="49">
        <f t="shared" si="8"/>
        <v>16.34</v>
      </c>
      <c r="S24" s="217"/>
      <c r="T24" s="49">
        <f t="shared" si="9"/>
        <v>0</v>
      </c>
      <c r="U24" s="217"/>
      <c r="V24" s="49">
        <f t="shared" si="10"/>
        <v>0</v>
      </c>
      <c r="W24" s="223"/>
      <c r="X24" s="49">
        <f t="shared" si="11"/>
        <v>0</v>
      </c>
      <c r="Y24" s="56">
        <f t="shared" si="0"/>
        <v>175</v>
      </c>
      <c r="Z24" s="49">
        <f t="shared" si="12"/>
        <v>30.1</v>
      </c>
      <c r="AA24" s="93">
        <f t="shared" si="1"/>
        <v>875</v>
      </c>
      <c r="AB24" s="93"/>
      <c r="AC24" s="48">
        <f>(Y24+завтрак!Y24)/10</f>
        <v>36.5</v>
      </c>
    </row>
    <row r="25" spans="1:29" ht="15">
      <c r="A25" s="52">
        <v>23</v>
      </c>
      <c r="B25" s="50" t="str">
        <f>завтрак!B25</f>
        <v>Сухофрукты ассорти</v>
      </c>
      <c r="C25" s="51" t="str">
        <f>завтрак!C25</f>
        <v>кг</v>
      </c>
      <c r="D25" s="77">
        <f>завтрак!D25</f>
        <v>140</v>
      </c>
      <c r="E25" s="217">
        <v>14</v>
      </c>
      <c r="F25" s="49">
        <f t="shared" si="2"/>
        <v>1.96</v>
      </c>
      <c r="G25" s="217">
        <v>17</v>
      </c>
      <c r="H25" s="49">
        <f t="shared" si="3"/>
        <v>2.38</v>
      </c>
      <c r="I25" s="217">
        <v>14</v>
      </c>
      <c r="J25" s="49">
        <f t="shared" si="4"/>
        <v>1.96</v>
      </c>
      <c r="K25" s="217">
        <v>15</v>
      </c>
      <c r="L25" s="49">
        <f t="shared" si="5"/>
        <v>2.1</v>
      </c>
      <c r="M25" s="223">
        <v>15</v>
      </c>
      <c r="N25" s="49">
        <f t="shared" si="6"/>
        <v>2.1</v>
      </c>
      <c r="O25" s="217">
        <v>14</v>
      </c>
      <c r="P25" s="49">
        <f t="shared" si="7"/>
        <v>1.96</v>
      </c>
      <c r="Q25" s="217">
        <v>14</v>
      </c>
      <c r="R25" s="49">
        <f t="shared" si="8"/>
        <v>1.96</v>
      </c>
      <c r="S25" s="217">
        <v>14</v>
      </c>
      <c r="T25" s="49">
        <f t="shared" si="9"/>
        <v>1.96</v>
      </c>
      <c r="U25" s="217">
        <v>14</v>
      </c>
      <c r="V25" s="49">
        <f t="shared" si="10"/>
        <v>1.96</v>
      </c>
      <c r="W25" s="223">
        <v>13</v>
      </c>
      <c r="X25" s="49">
        <f t="shared" si="11"/>
        <v>1.82</v>
      </c>
      <c r="Y25" s="56">
        <f t="shared" si="0"/>
        <v>144</v>
      </c>
      <c r="Z25" s="49">
        <f t="shared" si="12"/>
        <v>20.16</v>
      </c>
      <c r="AA25" s="93">
        <f t="shared" si="1"/>
        <v>720</v>
      </c>
      <c r="AB25" s="93"/>
      <c r="AC25" s="48">
        <f>(Y25+завтрак!Y25)/10</f>
        <v>14.4</v>
      </c>
    </row>
    <row r="26" spans="1:29" ht="15">
      <c r="A26" s="52">
        <v>24</v>
      </c>
      <c r="B26" s="50" t="str">
        <f>завтрак!B26</f>
        <v>Изюм</v>
      </c>
      <c r="C26" s="51" t="str">
        <f>завтрак!C26</f>
        <v>кг</v>
      </c>
      <c r="D26" s="77">
        <f>завтрак!D26</f>
        <v>293</v>
      </c>
      <c r="E26" s="217"/>
      <c r="F26" s="49">
        <f t="shared" si="2"/>
        <v>0</v>
      </c>
      <c r="G26" s="217"/>
      <c r="H26" s="49">
        <f t="shared" si="3"/>
        <v>0</v>
      </c>
      <c r="I26" s="217"/>
      <c r="J26" s="49">
        <f t="shared" si="4"/>
        <v>0</v>
      </c>
      <c r="K26" s="217"/>
      <c r="L26" s="49">
        <f t="shared" si="5"/>
        <v>0</v>
      </c>
      <c r="M26" s="223"/>
      <c r="N26" s="49">
        <f t="shared" si="6"/>
        <v>0</v>
      </c>
      <c r="O26" s="217"/>
      <c r="P26" s="49">
        <f t="shared" si="7"/>
        <v>0</v>
      </c>
      <c r="Q26" s="217"/>
      <c r="R26" s="49">
        <f t="shared" si="8"/>
        <v>0</v>
      </c>
      <c r="S26" s="217"/>
      <c r="T26" s="49">
        <f t="shared" si="9"/>
        <v>0</v>
      </c>
      <c r="U26" s="217"/>
      <c r="V26" s="49">
        <f t="shared" si="10"/>
        <v>0</v>
      </c>
      <c r="W26" s="223"/>
      <c r="X26" s="49">
        <f t="shared" si="11"/>
        <v>0</v>
      </c>
      <c r="Y26" s="56">
        <f t="shared" si="0"/>
        <v>0</v>
      </c>
      <c r="Z26" s="49">
        <f t="shared" si="12"/>
        <v>0</v>
      </c>
      <c r="AA26" s="93">
        <f t="shared" si="1"/>
        <v>0</v>
      </c>
      <c r="AB26" s="93"/>
      <c r="AC26" s="48">
        <f>(Y26+завтрак!Y26)/10</f>
        <v>0</v>
      </c>
    </row>
    <row r="27" spans="1:29" ht="15">
      <c r="A27" s="52">
        <v>25</v>
      </c>
      <c r="B27" s="50" t="str">
        <f>завтрак!B27</f>
        <v>Повидло фруктовое (1 сорт)</v>
      </c>
      <c r="C27" s="51" t="str">
        <f>завтрак!C27</f>
        <v>кг</v>
      </c>
      <c r="D27" s="77">
        <f>завтрак!D27</f>
        <v>147</v>
      </c>
      <c r="E27" s="217"/>
      <c r="F27" s="49">
        <f t="shared" si="2"/>
        <v>0</v>
      </c>
      <c r="G27" s="217"/>
      <c r="H27" s="49">
        <f t="shared" si="3"/>
        <v>0</v>
      </c>
      <c r="I27" s="217"/>
      <c r="J27" s="49">
        <f t="shared" si="4"/>
        <v>0</v>
      </c>
      <c r="K27" s="217"/>
      <c r="L27" s="49">
        <f t="shared" si="5"/>
        <v>0</v>
      </c>
      <c r="M27" s="223"/>
      <c r="N27" s="49">
        <f t="shared" si="6"/>
        <v>0</v>
      </c>
      <c r="O27" s="217"/>
      <c r="P27" s="49">
        <f t="shared" si="7"/>
        <v>0</v>
      </c>
      <c r="Q27" s="217"/>
      <c r="R27" s="49">
        <f t="shared" si="8"/>
        <v>0</v>
      </c>
      <c r="S27" s="217"/>
      <c r="T27" s="49">
        <f t="shared" si="9"/>
        <v>0</v>
      </c>
      <c r="U27" s="217"/>
      <c r="V27" s="49">
        <f t="shared" si="10"/>
        <v>0</v>
      </c>
      <c r="W27" s="223"/>
      <c r="X27" s="49">
        <f t="shared" si="11"/>
        <v>0</v>
      </c>
      <c r="Y27" s="56">
        <f t="shared" si="0"/>
        <v>0</v>
      </c>
      <c r="Z27" s="49">
        <f t="shared" si="12"/>
        <v>0</v>
      </c>
      <c r="AA27" s="93">
        <f t="shared" si="1"/>
        <v>0</v>
      </c>
      <c r="AB27" s="93"/>
      <c r="AC27" s="48">
        <f>(Y27+завтрак!Y27)/10</f>
        <v>0</v>
      </c>
    </row>
    <row r="28" spans="1:29" ht="15">
      <c r="A28" s="52">
        <v>26</v>
      </c>
      <c r="B28" s="50" t="str">
        <f>завтрак!B28</f>
        <v>Сок фруктовый (1 литр)</v>
      </c>
      <c r="C28" s="51" t="str">
        <f>завтрак!C28</f>
        <v>л</v>
      </c>
      <c r="D28" s="77">
        <f>завтрак!D28</f>
        <v>62</v>
      </c>
      <c r="E28" s="217"/>
      <c r="F28" s="49">
        <f t="shared" si="2"/>
        <v>0</v>
      </c>
      <c r="G28" s="217"/>
      <c r="H28" s="49">
        <f t="shared" si="3"/>
        <v>0</v>
      </c>
      <c r="I28" s="217"/>
      <c r="J28" s="49">
        <f t="shared" si="4"/>
        <v>0</v>
      </c>
      <c r="K28" s="217"/>
      <c r="L28" s="49">
        <f t="shared" si="5"/>
        <v>0</v>
      </c>
      <c r="M28" s="223"/>
      <c r="N28" s="49">
        <f t="shared" si="6"/>
        <v>0</v>
      </c>
      <c r="O28" s="217"/>
      <c r="P28" s="49">
        <f t="shared" si="7"/>
        <v>0</v>
      </c>
      <c r="Q28" s="217"/>
      <c r="R28" s="49">
        <f t="shared" si="8"/>
        <v>0</v>
      </c>
      <c r="S28" s="217"/>
      <c r="T28" s="49">
        <f t="shared" si="9"/>
        <v>0</v>
      </c>
      <c r="U28" s="217"/>
      <c r="V28" s="49">
        <f t="shared" si="10"/>
        <v>0</v>
      </c>
      <c r="W28" s="223"/>
      <c r="X28" s="49">
        <f t="shared" si="11"/>
        <v>0</v>
      </c>
      <c r="Y28" s="56">
        <f t="shared" si="0"/>
        <v>0</v>
      </c>
      <c r="Z28" s="49">
        <f t="shared" si="12"/>
        <v>0</v>
      </c>
      <c r="AA28" s="93">
        <f t="shared" si="1"/>
        <v>0</v>
      </c>
      <c r="AB28" s="93"/>
      <c r="AC28" s="48">
        <f>(Y28+завтрак!Y28)/10</f>
        <v>20</v>
      </c>
    </row>
    <row r="29" spans="1:29" ht="30">
      <c r="A29" s="52">
        <v>27</v>
      </c>
      <c r="B29" s="50" t="str">
        <f>завтрак!B29</f>
        <v>Масло растительное, рафинированное</v>
      </c>
      <c r="C29" s="51" t="str">
        <f>завтрак!C29</f>
        <v>кг</v>
      </c>
      <c r="D29" s="77">
        <f>завтрак!D29</f>
        <v>145</v>
      </c>
      <c r="E29" s="217">
        <v>5</v>
      </c>
      <c r="F29" s="49">
        <f t="shared" si="2"/>
        <v>0.73</v>
      </c>
      <c r="G29" s="217">
        <v>5</v>
      </c>
      <c r="H29" s="49">
        <f t="shared" si="3"/>
        <v>0.73</v>
      </c>
      <c r="I29" s="217">
        <f>2+4</f>
        <v>6</v>
      </c>
      <c r="J29" s="49">
        <f t="shared" si="4"/>
        <v>0.87</v>
      </c>
      <c r="K29" s="217">
        <f>6+4+5+5</f>
        <v>20</v>
      </c>
      <c r="L29" s="49">
        <f t="shared" si="5"/>
        <v>2.9</v>
      </c>
      <c r="M29" s="223">
        <f>5+5</f>
        <v>10</v>
      </c>
      <c r="N29" s="49">
        <f t="shared" si="6"/>
        <v>1.45</v>
      </c>
      <c r="O29" s="217">
        <f>4+4</f>
        <v>8</v>
      </c>
      <c r="P29" s="49">
        <f t="shared" si="7"/>
        <v>1.16</v>
      </c>
      <c r="Q29" s="217">
        <f>4+10+4</f>
        <v>18</v>
      </c>
      <c r="R29" s="49">
        <f t="shared" si="8"/>
        <v>2.61</v>
      </c>
      <c r="S29" s="217">
        <f>5+11</f>
        <v>16</v>
      </c>
      <c r="T29" s="49">
        <f t="shared" si="9"/>
        <v>2.32</v>
      </c>
      <c r="U29" s="217">
        <f>5+4</f>
        <v>9</v>
      </c>
      <c r="V29" s="49">
        <f t="shared" si="10"/>
        <v>1.31</v>
      </c>
      <c r="W29" s="223">
        <v>4</v>
      </c>
      <c r="X29" s="49">
        <f t="shared" si="11"/>
        <v>0.58</v>
      </c>
      <c r="Y29" s="56">
        <f t="shared" si="0"/>
        <v>101</v>
      </c>
      <c r="Z29" s="49">
        <f t="shared" si="12"/>
        <v>14.65</v>
      </c>
      <c r="AA29" s="93">
        <f t="shared" si="1"/>
        <v>505</v>
      </c>
      <c r="AB29" s="93"/>
      <c r="AC29" s="48">
        <f>(Y29+завтрак!Y29)/10</f>
        <v>17.3</v>
      </c>
    </row>
    <row r="30" spans="1:29" ht="15">
      <c r="A30" s="52">
        <v>28</v>
      </c>
      <c r="B30" s="50" t="str">
        <f>завтрак!B30</f>
        <v>Рыба с/м (1 сорт), минтай</v>
      </c>
      <c r="C30" s="51" t="str">
        <f>завтрак!C30</f>
        <v>кг</v>
      </c>
      <c r="D30" s="77">
        <f>завтрак!D30</f>
        <v>210</v>
      </c>
      <c r="E30" s="217"/>
      <c r="F30" s="49">
        <f t="shared" si="2"/>
        <v>0</v>
      </c>
      <c r="G30" s="217"/>
      <c r="H30" s="49">
        <f t="shared" si="3"/>
        <v>0</v>
      </c>
      <c r="I30" s="217"/>
      <c r="J30" s="49">
        <f t="shared" si="4"/>
        <v>0</v>
      </c>
      <c r="K30" s="217">
        <v>92</v>
      </c>
      <c r="L30" s="49">
        <f t="shared" si="5"/>
        <v>19.32</v>
      </c>
      <c r="M30" s="223"/>
      <c r="N30" s="49">
        <f t="shared" si="6"/>
        <v>0</v>
      </c>
      <c r="O30" s="217"/>
      <c r="P30" s="49">
        <f t="shared" si="7"/>
        <v>0</v>
      </c>
      <c r="Q30" s="217"/>
      <c r="R30" s="49">
        <f t="shared" si="8"/>
        <v>0</v>
      </c>
      <c r="S30" s="217">
        <v>154</v>
      </c>
      <c r="T30" s="49">
        <f t="shared" si="9"/>
        <v>32.34</v>
      </c>
      <c r="U30" s="217"/>
      <c r="V30" s="49">
        <f t="shared" si="10"/>
        <v>0</v>
      </c>
      <c r="W30" s="223"/>
      <c r="X30" s="49">
        <f t="shared" si="11"/>
        <v>0</v>
      </c>
      <c r="Y30" s="56">
        <f t="shared" si="0"/>
        <v>246</v>
      </c>
      <c r="Z30" s="49">
        <f t="shared" si="12"/>
        <v>51.66</v>
      </c>
      <c r="AA30" s="93">
        <f t="shared" si="1"/>
        <v>1230</v>
      </c>
      <c r="AB30" s="93"/>
      <c r="AC30" s="48">
        <f>(Y30+завтрак!Y30)/10</f>
        <v>49.2</v>
      </c>
    </row>
    <row r="31" spans="1:29" ht="15">
      <c r="A31" s="52">
        <v>29</v>
      </c>
      <c r="B31" s="50">
        <f>завтрак!B31</f>
        <v>0</v>
      </c>
      <c r="C31" s="51">
        <f>завтрак!C31</f>
        <v>0</v>
      </c>
      <c r="D31" s="77">
        <f>завтрак!D31</f>
        <v>0</v>
      </c>
      <c r="E31" s="217"/>
      <c r="F31" s="49">
        <f t="shared" si="2"/>
        <v>0</v>
      </c>
      <c r="G31" s="217"/>
      <c r="H31" s="49">
        <f t="shared" si="3"/>
        <v>0</v>
      </c>
      <c r="I31" s="217"/>
      <c r="J31" s="49">
        <f t="shared" si="4"/>
        <v>0</v>
      </c>
      <c r="K31" s="217"/>
      <c r="L31" s="49">
        <f t="shared" si="5"/>
        <v>0</v>
      </c>
      <c r="M31" s="223"/>
      <c r="N31" s="49">
        <f t="shared" si="6"/>
        <v>0</v>
      </c>
      <c r="O31" s="217"/>
      <c r="P31" s="49">
        <f t="shared" si="7"/>
        <v>0</v>
      </c>
      <c r="Q31" s="217"/>
      <c r="R31" s="49">
        <f t="shared" si="8"/>
        <v>0</v>
      </c>
      <c r="S31" s="217"/>
      <c r="T31" s="49">
        <f t="shared" si="9"/>
        <v>0</v>
      </c>
      <c r="U31" s="217"/>
      <c r="V31" s="49">
        <f t="shared" si="10"/>
        <v>0</v>
      </c>
      <c r="W31" s="223"/>
      <c r="X31" s="49">
        <f t="shared" si="11"/>
        <v>0</v>
      </c>
      <c r="Y31" s="56">
        <f t="shared" si="0"/>
        <v>0</v>
      </c>
      <c r="Z31" s="49">
        <f t="shared" si="12"/>
        <v>0</v>
      </c>
      <c r="AA31" s="93">
        <f t="shared" si="1"/>
        <v>0</v>
      </c>
      <c r="AB31" s="93"/>
      <c r="AC31" s="48">
        <f>(Y31+завтрак!Y31)/10</f>
        <v>0</v>
      </c>
    </row>
    <row r="32" spans="1:29" ht="15">
      <c r="A32" s="52">
        <v>30</v>
      </c>
      <c r="B32" s="50" t="str">
        <f>завтрак!B32</f>
        <v>Мука пшеничная (высший сорт)</v>
      </c>
      <c r="C32" s="51" t="str">
        <f>завтрак!C32</f>
        <v>кг</v>
      </c>
      <c r="D32" s="77">
        <f>завтрак!D32</f>
        <v>40</v>
      </c>
      <c r="E32" s="217"/>
      <c r="F32" s="49">
        <f t="shared" si="2"/>
        <v>0</v>
      </c>
      <c r="G32" s="217">
        <v>3</v>
      </c>
      <c r="H32" s="49">
        <f t="shared" si="3"/>
        <v>0.12</v>
      </c>
      <c r="I32" s="217">
        <f>13+5</f>
        <v>18</v>
      </c>
      <c r="J32" s="49">
        <f t="shared" si="4"/>
        <v>0.72</v>
      </c>
      <c r="K32" s="217"/>
      <c r="L32" s="49">
        <f t="shared" si="5"/>
        <v>0</v>
      </c>
      <c r="M32" s="223"/>
      <c r="N32" s="49">
        <f t="shared" si="6"/>
        <v>0</v>
      </c>
      <c r="O32" s="217"/>
      <c r="P32" s="49">
        <f t="shared" si="7"/>
        <v>0</v>
      </c>
      <c r="Q32" s="217"/>
      <c r="R32" s="49">
        <f t="shared" si="8"/>
        <v>0</v>
      </c>
      <c r="S32" s="217">
        <v>11</v>
      </c>
      <c r="T32" s="49">
        <v>0.45</v>
      </c>
      <c r="U32" s="217">
        <v>4</v>
      </c>
      <c r="V32" s="49">
        <f t="shared" si="10"/>
        <v>0.16</v>
      </c>
      <c r="W32" s="223">
        <v>5</v>
      </c>
      <c r="X32" s="49">
        <f t="shared" si="11"/>
        <v>0.2</v>
      </c>
      <c r="Y32" s="56">
        <f t="shared" si="0"/>
        <v>41</v>
      </c>
      <c r="Z32" s="49">
        <f t="shared" si="12"/>
        <v>1.64</v>
      </c>
      <c r="AA32" s="93">
        <f t="shared" si="1"/>
        <v>205</v>
      </c>
      <c r="AB32" s="93"/>
      <c r="AC32" s="48">
        <f>(Y32+завтрак!Y32)/10</f>
        <v>30.8</v>
      </c>
    </row>
    <row r="33" spans="1:29" ht="15">
      <c r="A33" s="52">
        <v>31</v>
      </c>
      <c r="B33" s="50" t="str">
        <f>завтрак!B33</f>
        <v>Крупа гречневая, в инд. уп.</v>
      </c>
      <c r="C33" s="51" t="str">
        <f>завтрак!C33</f>
        <v>кг</v>
      </c>
      <c r="D33" s="77">
        <f>завтрак!D33</f>
        <v>85</v>
      </c>
      <c r="E33" s="217"/>
      <c r="F33" s="49">
        <f t="shared" si="2"/>
        <v>0</v>
      </c>
      <c r="G33" s="217"/>
      <c r="H33" s="49">
        <f t="shared" si="3"/>
        <v>0</v>
      </c>
      <c r="I33" s="217"/>
      <c r="J33" s="49">
        <f t="shared" si="4"/>
        <v>0</v>
      </c>
      <c r="K33" s="217"/>
      <c r="L33" s="49">
        <f t="shared" si="5"/>
        <v>0</v>
      </c>
      <c r="M33" s="223">
        <v>52</v>
      </c>
      <c r="N33" s="49">
        <f t="shared" si="6"/>
        <v>4.42</v>
      </c>
      <c r="O33" s="217"/>
      <c r="P33" s="49">
        <f t="shared" si="7"/>
        <v>0</v>
      </c>
      <c r="Q33" s="217">
        <v>8</v>
      </c>
      <c r="R33" s="49">
        <f t="shared" si="8"/>
        <v>0.68</v>
      </c>
      <c r="S33" s="217"/>
      <c r="T33" s="49">
        <f t="shared" si="9"/>
        <v>0</v>
      </c>
      <c r="U33" s="217"/>
      <c r="V33" s="49">
        <f t="shared" si="10"/>
        <v>0</v>
      </c>
      <c r="W33" s="223"/>
      <c r="X33" s="49">
        <f t="shared" si="11"/>
        <v>0</v>
      </c>
      <c r="Y33" s="56">
        <f t="shared" si="0"/>
        <v>60</v>
      </c>
      <c r="Z33" s="49">
        <f t="shared" si="12"/>
        <v>5.1</v>
      </c>
      <c r="AA33" s="93">
        <f t="shared" si="1"/>
        <v>300</v>
      </c>
      <c r="AB33" s="93"/>
      <c r="AC33" s="48">
        <f>(Y33+завтрак!Y33)/10</f>
        <v>11</v>
      </c>
    </row>
    <row r="34" spans="1:29" ht="15">
      <c r="A34" s="52">
        <v>32</v>
      </c>
      <c r="B34" s="50" t="str">
        <f>завтрак!B34</f>
        <v>Крупа манная (1 сорт), в инд. уп.</v>
      </c>
      <c r="C34" s="51" t="str">
        <f>завтрак!C34</f>
        <v>кг</v>
      </c>
      <c r="D34" s="77">
        <f>завтрак!D34</f>
        <v>58</v>
      </c>
      <c r="E34" s="217"/>
      <c r="F34" s="49">
        <f t="shared" si="2"/>
        <v>0</v>
      </c>
      <c r="G34" s="217"/>
      <c r="H34" s="49">
        <f t="shared" si="3"/>
        <v>0</v>
      </c>
      <c r="I34" s="217"/>
      <c r="J34" s="49">
        <f t="shared" si="4"/>
        <v>0</v>
      </c>
      <c r="K34" s="217"/>
      <c r="L34" s="49">
        <f t="shared" si="5"/>
        <v>0</v>
      </c>
      <c r="M34" s="223"/>
      <c r="N34" s="49">
        <f t="shared" si="6"/>
        <v>0</v>
      </c>
      <c r="O34" s="217"/>
      <c r="P34" s="49">
        <f t="shared" si="7"/>
        <v>0</v>
      </c>
      <c r="Q34" s="217"/>
      <c r="R34" s="49">
        <f t="shared" si="8"/>
        <v>0</v>
      </c>
      <c r="S34" s="217"/>
      <c r="T34" s="49">
        <f t="shared" si="9"/>
        <v>0</v>
      </c>
      <c r="U34" s="217"/>
      <c r="V34" s="49">
        <f t="shared" si="10"/>
        <v>0</v>
      </c>
      <c r="W34" s="223"/>
      <c r="X34" s="49">
        <f t="shared" si="11"/>
        <v>0</v>
      </c>
      <c r="Y34" s="56">
        <f t="shared" si="0"/>
        <v>0</v>
      </c>
      <c r="Z34" s="49">
        <f t="shared" si="12"/>
        <v>0</v>
      </c>
      <c r="AA34" s="93">
        <f t="shared" si="1"/>
        <v>0</v>
      </c>
      <c r="AB34" s="93"/>
      <c r="AC34" s="48">
        <f>(Y34+завтрак!Y34)/10</f>
        <v>0</v>
      </c>
    </row>
    <row r="35" spans="1:29" ht="15">
      <c r="A35" s="52">
        <v>33</v>
      </c>
      <c r="B35" s="50" t="str">
        <f>завтрак!B35</f>
        <v>Рис (1 сорт), в инд. уп.</v>
      </c>
      <c r="C35" s="51" t="str">
        <f>завтрак!C35</f>
        <v>кг</v>
      </c>
      <c r="D35" s="77">
        <f>завтрак!D35</f>
        <v>116</v>
      </c>
      <c r="E35" s="217"/>
      <c r="F35" s="49">
        <f t="shared" si="2"/>
        <v>0</v>
      </c>
      <c r="G35" s="217"/>
      <c r="H35" s="49">
        <f t="shared" si="3"/>
        <v>0</v>
      </c>
      <c r="I35" s="217">
        <v>54</v>
      </c>
      <c r="J35" s="49">
        <v>6.27</v>
      </c>
      <c r="K35" s="217"/>
      <c r="L35" s="49">
        <f t="shared" si="5"/>
        <v>0</v>
      </c>
      <c r="M35" s="223"/>
      <c r="N35" s="49">
        <f t="shared" si="6"/>
        <v>0</v>
      </c>
      <c r="O35" s="217"/>
      <c r="P35" s="49">
        <f t="shared" si="7"/>
        <v>0</v>
      </c>
      <c r="Q35" s="217">
        <v>54</v>
      </c>
      <c r="R35" s="49">
        <f t="shared" si="8"/>
        <v>6.26</v>
      </c>
      <c r="S35" s="217"/>
      <c r="T35" s="49">
        <f t="shared" si="9"/>
        <v>0</v>
      </c>
      <c r="U35" s="217">
        <v>8</v>
      </c>
      <c r="V35" s="49">
        <f t="shared" si="10"/>
        <v>0.93</v>
      </c>
      <c r="W35" s="223"/>
      <c r="X35" s="49">
        <f t="shared" si="11"/>
        <v>0</v>
      </c>
      <c r="Y35" s="56">
        <f t="shared" si="0"/>
        <v>116</v>
      </c>
      <c r="Z35" s="49">
        <f t="shared" si="12"/>
        <v>13.46</v>
      </c>
      <c r="AA35" s="93">
        <f t="shared" si="1"/>
        <v>580</v>
      </c>
      <c r="AB35" s="93"/>
      <c r="AC35" s="48">
        <f>(Y35+завтрак!Y35)/10</f>
        <v>17</v>
      </c>
    </row>
    <row r="36" spans="1:29" ht="30">
      <c r="A36" s="52">
        <v>34</v>
      </c>
      <c r="B36" s="50" t="str">
        <f>завтрак!B36</f>
        <v>Крупа пшеничная (1 сорт), в инд. уп.</v>
      </c>
      <c r="C36" s="51" t="str">
        <f>завтрак!C36</f>
        <v>кг</v>
      </c>
      <c r="D36" s="77">
        <f>завтрак!D36</f>
        <v>58</v>
      </c>
      <c r="E36" s="217"/>
      <c r="F36" s="49">
        <f t="shared" si="2"/>
        <v>0</v>
      </c>
      <c r="G36" s="217"/>
      <c r="H36" s="49">
        <f t="shared" si="3"/>
        <v>0</v>
      </c>
      <c r="I36" s="217"/>
      <c r="J36" s="49">
        <f t="shared" si="4"/>
        <v>0</v>
      </c>
      <c r="K36" s="217"/>
      <c r="L36" s="49">
        <f t="shared" si="5"/>
        <v>0</v>
      </c>
      <c r="M36" s="223"/>
      <c r="N36" s="49">
        <f t="shared" si="6"/>
        <v>0</v>
      </c>
      <c r="O36" s="217"/>
      <c r="P36" s="49">
        <f t="shared" si="7"/>
        <v>0</v>
      </c>
      <c r="Q36" s="217"/>
      <c r="R36" s="49">
        <f t="shared" si="8"/>
        <v>0</v>
      </c>
      <c r="S36" s="217"/>
      <c r="T36" s="49">
        <f t="shared" si="9"/>
        <v>0</v>
      </c>
      <c r="U36" s="217"/>
      <c r="V36" s="49">
        <f t="shared" si="10"/>
        <v>0</v>
      </c>
      <c r="W36" s="223">
        <v>36</v>
      </c>
      <c r="X36" s="49">
        <f t="shared" si="11"/>
        <v>2.09</v>
      </c>
      <c r="Y36" s="56">
        <f t="shared" si="0"/>
        <v>36</v>
      </c>
      <c r="Z36" s="49">
        <f t="shared" si="12"/>
        <v>2.09</v>
      </c>
      <c r="AA36" s="93">
        <f t="shared" si="1"/>
        <v>180</v>
      </c>
      <c r="AB36" s="93"/>
      <c r="AC36" s="48">
        <f>(Y36+завтрак!Y36)/10</f>
        <v>7.2</v>
      </c>
    </row>
    <row r="37" spans="1:29" ht="15">
      <c r="A37" s="52">
        <v>35</v>
      </c>
      <c r="B37" s="50" t="str">
        <f>завтрак!B37</f>
        <v>Пшено (1 сорт), в инд. уп.</v>
      </c>
      <c r="C37" s="51" t="str">
        <f>завтрак!C37</f>
        <v>кг</v>
      </c>
      <c r="D37" s="77">
        <f>завтрак!D37</f>
        <v>57</v>
      </c>
      <c r="E37" s="217"/>
      <c r="F37" s="49">
        <f t="shared" si="2"/>
        <v>0</v>
      </c>
      <c r="G37" s="217">
        <v>54</v>
      </c>
      <c r="H37" s="49">
        <f t="shared" si="3"/>
        <v>3.08</v>
      </c>
      <c r="I37" s="217"/>
      <c r="J37" s="49">
        <f t="shared" si="4"/>
        <v>0</v>
      </c>
      <c r="K37" s="217"/>
      <c r="L37" s="49">
        <f t="shared" si="5"/>
        <v>0</v>
      </c>
      <c r="M37" s="223"/>
      <c r="N37" s="49">
        <f t="shared" si="6"/>
        <v>0</v>
      </c>
      <c r="O37" s="217"/>
      <c r="P37" s="49">
        <f t="shared" si="7"/>
        <v>0</v>
      </c>
      <c r="Q37" s="217"/>
      <c r="R37" s="49">
        <f t="shared" si="8"/>
        <v>0</v>
      </c>
      <c r="S37" s="217"/>
      <c r="T37" s="49">
        <f t="shared" si="9"/>
        <v>0</v>
      </c>
      <c r="U37" s="217"/>
      <c r="V37" s="49">
        <f t="shared" si="10"/>
        <v>0</v>
      </c>
      <c r="W37" s="223"/>
      <c r="X37" s="49">
        <f t="shared" si="11"/>
        <v>0</v>
      </c>
      <c r="Y37" s="56">
        <f t="shared" si="0"/>
        <v>54</v>
      </c>
      <c r="Z37" s="49">
        <f t="shared" si="12"/>
        <v>3.08</v>
      </c>
      <c r="AA37" s="93">
        <f t="shared" si="1"/>
        <v>270</v>
      </c>
      <c r="AB37" s="93"/>
      <c r="AC37" s="48">
        <f>(Y37+завтрак!Y37)/10</f>
        <v>10.8</v>
      </c>
    </row>
    <row r="38" spans="1:29" ht="15">
      <c r="A38" s="52">
        <v>36</v>
      </c>
      <c r="B38" s="50" t="str">
        <f>завтрак!B38</f>
        <v>Горох шлифованный, в инд. уп.</v>
      </c>
      <c r="C38" s="51" t="str">
        <f>завтрак!C38</f>
        <v>кг</v>
      </c>
      <c r="D38" s="77">
        <f>завтрак!D38</f>
        <v>54</v>
      </c>
      <c r="E38" s="217"/>
      <c r="F38" s="49">
        <f t="shared" si="2"/>
        <v>0</v>
      </c>
      <c r="G38" s="217"/>
      <c r="H38" s="49">
        <f t="shared" si="3"/>
        <v>0</v>
      </c>
      <c r="I38" s="217"/>
      <c r="J38" s="49">
        <f t="shared" si="4"/>
        <v>0</v>
      </c>
      <c r="K38" s="217"/>
      <c r="L38" s="49">
        <f t="shared" si="5"/>
        <v>0</v>
      </c>
      <c r="M38" s="223">
        <v>20</v>
      </c>
      <c r="N38" s="49">
        <f t="shared" si="6"/>
        <v>1.08</v>
      </c>
      <c r="O38" s="217"/>
      <c r="P38" s="49">
        <f t="shared" si="7"/>
        <v>0</v>
      </c>
      <c r="Q38" s="217"/>
      <c r="R38" s="49">
        <f t="shared" si="8"/>
        <v>0</v>
      </c>
      <c r="S38" s="217"/>
      <c r="T38" s="49">
        <f t="shared" si="9"/>
        <v>0</v>
      </c>
      <c r="U38" s="217"/>
      <c r="V38" s="49">
        <f t="shared" si="10"/>
        <v>0</v>
      </c>
      <c r="W38" s="223"/>
      <c r="X38" s="49">
        <f t="shared" si="11"/>
        <v>0</v>
      </c>
      <c r="Y38" s="56">
        <f t="shared" si="0"/>
        <v>20</v>
      </c>
      <c r="Z38" s="49">
        <f t="shared" si="12"/>
        <v>1.08</v>
      </c>
      <c r="AA38" s="93">
        <f t="shared" si="1"/>
        <v>100</v>
      </c>
      <c r="AB38" s="93"/>
      <c r="AC38" s="48">
        <f>(Y38+завтрак!Y38)/10</f>
        <v>2</v>
      </c>
    </row>
    <row r="39" spans="1:29" ht="15">
      <c r="A39" s="52">
        <v>37</v>
      </c>
      <c r="B39" s="50" t="str">
        <f>завтрак!B39</f>
        <v>Крупа перловая, в инд. уп.</v>
      </c>
      <c r="C39" s="51" t="str">
        <f>завтрак!C39</f>
        <v>кг</v>
      </c>
      <c r="D39" s="77">
        <f>завтрак!D39</f>
        <v>48</v>
      </c>
      <c r="E39" s="217"/>
      <c r="F39" s="49">
        <f t="shared" si="2"/>
        <v>0</v>
      </c>
      <c r="G39" s="217"/>
      <c r="H39" s="49">
        <f t="shared" si="3"/>
        <v>0</v>
      </c>
      <c r="I39" s="217"/>
      <c r="J39" s="49">
        <f t="shared" si="4"/>
        <v>0</v>
      </c>
      <c r="K39" s="217"/>
      <c r="L39" s="49">
        <f t="shared" si="5"/>
        <v>0</v>
      </c>
      <c r="M39" s="223"/>
      <c r="N39" s="49">
        <f t="shared" si="6"/>
        <v>0</v>
      </c>
      <c r="O39" s="217">
        <v>8</v>
      </c>
      <c r="P39" s="49">
        <f t="shared" si="7"/>
        <v>0.38</v>
      </c>
      <c r="Q39" s="217"/>
      <c r="R39" s="49">
        <f t="shared" si="8"/>
        <v>0</v>
      </c>
      <c r="S39" s="217"/>
      <c r="T39" s="49">
        <f t="shared" si="9"/>
        <v>0</v>
      </c>
      <c r="U39" s="217"/>
      <c r="V39" s="49">
        <f t="shared" si="10"/>
        <v>0</v>
      </c>
      <c r="W39" s="223"/>
      <c r="X39" s="49">
        <f t="shared" si="11"/>
        <v>0</v>
      </c>
      <c r="Y39" s="56">
        <f t="shared" si="0"/>
        <v>8</v>
      </c>
      <c r="Z39" s="49">
        <f t="shared" si="12"/>
        <v>0.38</v>
      </c>
      <c r="AA39" s="93">
        <f t="shared" si="1"/>
        <v>40</v>
      </c>
      <c r="AB39" s="93"/>
      <c r="AC39" s="48">
        <f>(Y39+завтрак!Y39)/10</f>
        <v>0.8</v>
      </c>
    </row>
    <row r="40" spans="1:29" ht="15">
      <c r="A40" s="52">
        <v>38</v>
      </c>
      <c r="B40" s="50" t="str">
        <f>завтрак!B40</f>
        <v>Крупа ячневая, в инд. уп.</v>
      </c>
      <c r="C40" s="51" t="str">
        <f>завтрак!C40</f>
        <v>кг</v>
      </c>
      <c r="D40" s="77">
        <f>завтрак!D40</f>
        <v>48</v>
      </c>
      <c r="E40" s="217"/>
      <c r="F40" s="49">
        <f t="shared" si="2"/>
        <v>0</v>
      </c>
      <c r="G40" s="217"/>
      <c r="H40" s="49">
        <f t="shared" si="3"/>
        <v>0</v>
      </c>
      <c r="I40" s="217"/>
      <c r="J40" s="49">
        <f t="shared" si="4"/>
        <v>0</v>
      </c>
      <c r="K40" s="217"/>
      <c r="L40" s="49">
        <f t="shared" si="5"/>
        <v>0</v>
      </c>
      <c r="M40" s="223"/>
      <c r="N40" s="49">
        <f t="shared" si="6"/>
        <v>0</v>
      </c>
      <c r="O40" s="217"/>
      <c r="P40" s="49">
        <f t="shared" si="7"/>
        <v>0</v>
      </c>
      <c r="Q40" s="217"/>
      <c r="R40" s="49">
        <f t="shared" si="8"/>
        <v>0</v>
      </c>
      <c r="S40" s="217"/>
      <c r="T40" s="49">
        <f t="shared" si="9"/>
        <v>0</v>
      </c>
      <c r="U40" s="217">
        <v>50</v>
      </c>
      <c r="V40" s="49">
        <f t="shared" si="10"/>
        <v>2.4</v>
      </c>
      <c r="W40" s="223"/>
      <c r="X40" s="49">
        <f t="shared" si="11"/>
        <v>0</v>
      </c>
      <c r="Y40" s="56">
        <f t="shared" si="0"/>
        <v>50</v>
      </c>
      <c r="Z40" s="49">
        <f t="shared" si="12"/>
        <v>2.4</v>
      </c>
      <c r="AA40" s="93">
        <f t="shared" si="1"/>
        <v>250</v>
      </c>
      <c r="AB40" s="93"/>
      <c r="AC40" s="48">
        <f>(Y40+завтрак!Y40)/10</f>
        <v>5</v>
      </c>
    </row>
    <row r="41" spans="1:29" ht="15">
      <c r="A41" s="52">
        <v>39</v>
      </c>
      <c r="B41" s="50" t="str">
        <f>завтрак!B41</f>
        <v>Хлопья "Геркулес", в инд. уп.</v>
      </c>
      <c r="C41" s="51" t="str">
        <f>завтрак!C41</f>
        <v>кг</v>
      </c>
      <c r="D41" s="77">
        <f>завтрак!D41</f>
        <v>76</v>
      </c>
      <c r="E41" s="217"/>
      <c r="F41" s="49">
        <f t="shared" si="2"/>
        <v>0</v>
      </c>
      <c r="G41" s="217"/>
      <c r="H41" s="49">
        <f t="shared" si="3"/>
        <v>0</v>
      </c>
      <c r="I41" s="217"/>
      <c r="J41" s="49">
        <f t="shared" si="4"/>
        <v>0</v>
      </c>
      <c r="K41" s="217"/>
      <c r="L41" s="49">
        <f t="shared" si="5"/>
        <v>0</v>
      </c>
      <c r="M41" s="223"/>
      <c r="N41" s="49">
        <f t="shared" si="6"/>
        <v>0</v>
      </c>
      <c r="O41" s="217"/>
      <c r="P41" s="49">
        <f t="shared" si="7"/>
        <v>0</v>
      </c>
      <c r="Q41" s="217"/>
      <c r="R41" s="49">
        <f t="shared" si="8"/>
        <v>0</v>
      </c>
      <c r="S41" s="217"/>
      <c r="T41" s="49">
        <f t="shared" si="9"/>
        <v>0</v>
      </c>
      <c r="U41" s="217"/>
      <c r="V41" s="49">
        <f t="shared" si="10"/>
        <v>0</v>
      </c>
      <c r="W41" s="223"/>
      <c r="X41" s="49">
        <f t="shared" si="11"/>
        <v>0</v>
      </c>
      <c r="Y41" s="56">
        <f t="shared" si="0"/>
        <v>0</v>
      </c>
      <c r="Z41" s="49">
        <f t="shared" si="12"/>
        <v>0</v>
      </c>
      <c r="AA41" s="93">
        <f t="shared" si="1"/>
        <v>0</v>
      </c>
      <c r="AB41" s="93"/>
      <c r="AC41" s="48">
        <f>(Y41+завтрак!Y41)/10</f>
        <v>0</v>
      </c>
    </row>
    <row r="42" spans="1:29" ht="15">
      <c r="A42" s="52">
        <v>40</v>
      </c>
      <c r="B42" s="50" t="str">
        <f>завтрак!B42</f>
        <v>Сахар-песок</v>
      </c>
      <c r="C42" s="51" t="str">
        <f>завтрак!C42</f>
        <v>кг</v>
      </c>
      <c r="D42" s="77">
        <f>завтрак!D42</f>
        <v>85</v>
      </c>
      <c r="E42" s="217">
        <f>1+11</f>
        <v>12</v>
      </c>
      <c r="F42" s="49">
        <f t="shared" si="2"/>
        <v>1.02</v>
      </c>
      <c r="G42" s="217">
        <v>13</v>
      </c>
      <c r="H42" s="49">
        <f t="shared" si="3"/>
        <v>1.11</v>
      </c>
      <c r="I42" s="217">
        <v>13</v>
      </c>
      <c r="J42" s="49">
        <f t="shared" si="4"/>
        <v>1.11</v>
      </c>
      <c r="K42" s="217">
        <v>13</v>
      </c>
      <c r="L42" s="49">
        <f t="shared" si="5"/>
        <v>1.11</v>
      </c>
      <c r="M42" s="223">
        <v>12</v>
      </c>
      <c r="N42" s="49">
        <f t="shared" si="6"/>
        <v>1.02</v>
      </c>
      <c r="O42" s="217">
        <v>14</v>
      </c>
      <c r="P42" s="49">
        <f t="shared" si="7"/>
        <v>1.19</v>
      </c>
      <c r="Q42" s="217">
        <v>12</v>
      </c>
      <c r="R42" s="49">
        <f t="shared" si="8"/>
        <v>1.02</v>
      </c>
      <c r="S42" s="217">
        <v>11</v>
      </c>
      <c r="T42" s="49">
        <f t="shared" si="9"/>
        <v>0.94</v>
      </c>
      <c r="U42" s="217">
        <v>13</v>
      </c>
      <c r="V42" s="49">
        <f t="shared" si="10"/>
        <v>1.11</v>
      </c>
      <c r="W42" s="223">
        <v>10</v>
      </c>
      <c r="X42" s="49">
        <f t="shared" si="11"/>
        <v>0.85</v>
      </c>
      <c r="Y42" s="56">
        <f t="shared" si="0"/>
        <v>123</v>
      </c>
      <c r="Z42" s="49">
        <f t="shared" si="12"/>
        <v>10.46</v>
      </c>
      <c r="AA42" s="93">
        <f t="shared" si="1"/>
        <v>615</v>
      </c>
      <c r="AB42" s="93"/>
      <c r="AC42" s="48">
        <f>(Y42+завтрак!Y42)/10</f>
        <v>27</v>
      </c>
    </row>
    <row r="43" spans="1:29" ht="15">
      <c r="A43" s="52">
        <v>41</v>
      </c>
      <c r="B43" s="50" t="str">
        <f>завтрак!B43</f>
        <v>Макароны (высший сорт)</v>
      </c>
      <c r="C43" s="51" t="str">
        <f>завтрак!C43</f>
        <v>кг</v>
      </c>
      <c r="D43" s="77">
        <f>завтрак!D43</f>
        <v>46</v>
      </c>
      <c r="E43" s="217">
        <v>45</v>
      </c>
      <c r="F43" s="49">
        <v>2.08</v>
      </c>
      <c r="G43" s="217"/>
      <c r="H43" s="49">
        <f t="shared" si="3"/>
        <v>0</v>
      </c>
      <c r="I43" s="217"/>
      <c r="J43" s="49">
        <f t="shared" si="4"/>
        <v>0</v>
      </c>
      <c r="K43" s="217"/>
      <c r="L43" s="49">
        <f t="shared" si="5"/>
        <v>0</v>
      </c>
      <c r="M43" s="223"/>
      <c r="N43" s="49">
        <f t="shared" si="6"/>
        <v>0</v>
      </c>
      <c r="O43" s="217">
        <v>57</v>
      </c>
      <c r="P43" s="49">
        <f t="shared" si="7"/>
        <v>2.62</v>
      </c>
      <c r="Q43" s="217"/>
      <c r="R43" s="49">
        <f t="shared" si="8"/>
        <v>0</v>
      </c>
      <c r="S43" s="217"/>
      <c r="T43" s="49">
        <f t="shared" si="9"/>
        <v>0</v>
      </c>
      <c r="U43" s="217"/>
      <c r="V43" s="49">
        <f t="shared" si="10"/>
        <v>0</v>
      </c>
      <c r="W43" s="223"/>
      <c r="X43" s="49">
        <f t="shared" si="11"/>
        <v>0</v>
      </c>
      <c r="Y43" s="56">
        <f t="shared" si="0"/>
        <v>102</v>
      </c>
      <c r="Z43" s="49">
        <f t="shared" si="12"/>
        <v>4.69</v>
      </c>
      <c r="AA43" s="93">
        <f t="shared" si="1"/>
        <v>510</v>
      </c>
      <c r="AB43" s="93"/>
      <c r="AC43" s="48">
        <f>(Y43+завтрак!Y43)/10</f>
        <v>21</v>
      </c>
    </row>
    <row r="44" spans="1:29" ht="15">
      <c r="A44" s="52">
        <v>42</v>
      </c>
      <c r="B44" s="50" t="str">
        <f>завтрак!B44</f>
        <v>Вермишель (высший сорт)</v>
      </c>
      <c r="C44" s="51" t="str">
        <f>завтрак!C44</f>
        <v>кг</v>
      </c>
      <c r="D44" s="77">
        <f>завтрак!D44</f>
        <v>47</v>
      </c>
      <c r="E44" s="217"/>
      <c r="F44" s="49">
        <f t="shared" si="2"/>
        <v>0</v>
      </c>
      <c r="G44" s="217">
        <v>11</v>
      </c>
      <c r="H44" s="49">
        <v>0.51</v>
      </c>
      <c r="I44" s="217"/>
      <c r="J44" s="49">
        <f t="shared" si="4"/>
        <v>0</v>
      </c>
      <c r="K44" s="217"/>
      <c r="L44" s="49">
        <f t="shared" si="5"/>
        <v>0</v>
      </c>
      <c r="M44" s="223"/>
      <c r="N44" s="49">
        <f t="shared" si="6"/>
        <v>0</v>
      </c>
      <c r="O44" s="217"/>
      <c r="P44" s="49">
        <f t="shared" si="7"/>
        <v>0</v>
      </c>
      <c r="Q44" s="217"/>
      <c r="R44" s="49">
        <f t="shared" si="8"/>
        <v>0</v>
      </c>
      <c r="S44" s="217"/>
      <c r="T44" s="49">
        <f t="shared" si="9"/>
        <v>0</v>
      </c>
      <c r="U44" s="217"/>
      <c r="V44" s="49">
        <f t="shared" si="10"/>
        <v>0</v>
      </c>
      <c r="W44" s="223"/>
      <c r="X44" s="49">
        <f t="shared" si="11"/>
        <v>0</v>
      </c>
      <c r="Y44" s="56">
        <f t="shared" si="0"/>
        <v>11</v>
      </c>
      <c r="Z44" s="49">
        <f t="shared" si="12"/>
        <v>0.52</v>
      </c>
      <c r="AA44" s="93">
        <f t="shared" si="1"/>
        <v>55</v>
      </c>
      <c r="AB44" s="93"/>
      <c r="AC44" s="48">
        <f>(Y44+завтрак!Y44)/10</f>
        <v>1.1</v>
      </c>
    </row>
    <row r="45" spans="1:29" ht="15">
      <c r="A45" s="52">
        <v>43</v>
      </c>
      <c r="B45" s="50" t="str">
        <f>завтрак!B45</f>
        <v>Дрожжи сухие</v>
      </c>
      <c r="C45" s="51" t="str">
        <f>завтрак!C45</f>
        <v>кг</v>
      </c>
      <c r="D45" s="77">
        <f>завтрак!D45</f>
        <v>377</v>
      </c>
      <c r="E45" s="217"/>
      <c r="F45" s="49">
        <f t="shared" si="2"/>
        <v>0</v>
      </c>
      <c r="G45" s="217"/>
      <c r="H45" s="49">
        <f t="shared" si="3"/>
        <v>0</v>
      </c>
      <c r="I45" s="217"/>
      <c r="J45" s="49">
        <f t="shared" si="4"/>
        <v>0</v>
      </c>
      <c r="K45" s="217"/>
      <c r="L45" s="49">
        <f t="shared" si="5"/>
        <v>0</v>
      </c>
      <c r="M45" s="223"/>
      <c r="N45" s="49">
        <f t="shared" si="6"/>
        <v>0</v>
      </c>
      <c r="O45" s="217"/>
      <c r="P45" s="49">
        <f t="shared" si="7"/>
        <v>0</v>
      </c>
      <c r="Q45" s="217"/>
      <c r="R45" s="49">
        <f t="shared" si="8"/>
        <v>0</v>
      </c>
      <c r="S45" s="217"/>
      <c r="T45" s="49">
        <f t="shared" si="9"/>
        <v>0</v>
      </c>
      <c r="U45" s="217"/>
      <c r="V45" s="49">
        <f t="shared" si="10"/>
        <v>0</v>
      </c>
      <c r="W45" s="223"/>
      <c r="X45" s="49">
        <f t="shared" si="11"/>
        <v>0</v>
      </c>
      <c r="Y45" s="56">
        <f t="shared" si="0"/>
        <v>0</v>
      </c>
      <c r="Z45" s="49">
        <f t="shared" si="12"/>
        <v>0</v>
      </c>
      <c r="AA45" s="93">
        <f t="shared" si="1"/>
        <v>0</v>
      </c>
      <c r="AB45" s="93"/>
      <c r="AC45" s="48">
        <f>(Y45+завтрак!Y45)/10</f>
        <v>0.45</v>
      </c>
    </row>
    <row r="46" spans="1:29" ht="15">
      <c r="A46" s="52">
        <v>44</v>
      </c>
      <c r="B46" s="50" t="str">
        <f>завтрак!B46</f>
        <v>Соль йодированная</v>
      </c>
      <c r="C46" s="51" t="str">
        <f>завтрак!C46</f>
        <v>кг</v>
      </c>
      <c r="D46" s="77">
        <f>завтрак!D46</f>
        <v>27</v>
      </c>
      <c r="E46" s="217">
        <v>2</v>
      </c>
      <c r="F46" s="49">
        <f t="shared" si="2"/>
        <v>0.05</v>
      </c>
      <c r="G46" s="217">
        <v>4</v>
      </c>
      <c r="H46" s="49">
        <f t="shared" si="3"/>
        <v>0.11</v>
      </c>
      <c r="I46" s="217">
        <v>4</v>
      </c>
      <c r="J46" s="49">
        <f t="shared" si="4"/>
        <v>0.11</v>
      </c>
      <c r="K46" s="217">
        <v>4</v>
      </c>
      <c r="L46" s="49">
        <f t="shared" si="5"/>
        <v>0.11</v>
      </c>
      <c r="M46" s="223">
        <v>2</v>
      </c>
      <c r="N46" s="49">
        <f t="shared" si="6"/>
        <v>0.05</v>
      </c>
      <c r="O46" s="217">
        <v>2</v>
      </c>
      <c r="P46" s="49">
        <f t="shared" si="7"/>
        <v>0.05</v>
      </c>
      <c r="Q46" s="217">
        <v>4</v>
      </c>
      <c r="R46" s="49">
        <f t="shared" si="8"/>
        <v>0.11</v>
      </c>
      <c r="S46" s="217">
        <v>2.5</v>
      </c>
      <c r="T46" s="49">
        <f t="shared" si="9"/>
        <v>0.07</v>
      </c>
      <c r="U46" s="217">
        <v>3.5</v>
      </c>
      <c r="V46" s="49">
        <f t="shared" si="10"/>
        <v>0.09</v>
      </c>
      <c r="W46" s="223">
        <v>3.5</v>
      </c>
      <c r="X46" s="49">
        <f t="shared" si="11"/>
        <v>0.09</v>
      </c>
      <c r="Y46" s="56">
        <f t="shared" si="0"/>
        <v>31.5</v>
      </c>
      <c r="Z46" s="49">
        <f t="shared" si="12"/>
        <v>0.85</v>
      </c>
      <c r="AA46" s="93">
        <f t="shared" si="1"/>
        <v>157.5</v>
      </c>
      <c r="AB46" s="93"/>
      <c r="AC46" s="48">
        <f>(Y46+завтрак!Y46)/10</f>
        <v>5.65</v>
      </c>
    </row>
    <row r="47" spans="1:29" ht="15">
      <c r="A47" s="52">
        <v>45</v>
      </c>
      <c r="B47" s="50">
        <f>завтрак!B47</f>
        <v>0</v>
      </c>
      <c r="C47" s="51">
        <f>завтрак!C47</f>
        <v>0</v>
      </c>
      <c r="D47" s="77">
        <f>завтрак!D47</f>
        <v>0</v>
      </c>
      <c r="E47" s="217"/>
      <c r="F47" s="49">
        <f t="shared" si="2"/>
        <v>0</v>
      </c>
      <c r="G47" s="217"/>
      <c r="H47" s="49">
        <f t="shared" si="3"/>
        <v>0</v>
      </c>
      <c r="I47" s="217"/>
      <c r="J47" s="49">
        <f t="shared" si="4"/>
        <v>0</v>
      </c>
      <c r="K47" s="217"/>
      <c r="L47" s="49">
        <f t="shared" si="5"/>
        <v>0</v>
      </c>
      <c r="M47" s="223"/>
      <c r="N47" s="49">
        <f t="shared" si="6"/>
        <v>0</v>
      </c>
      <c r="O47" s="217"/>
      <c r="P47" s="49">
        <f t="shared" si="7"/>
        <v>0</v>
      </c>
      <c r="Q47" s="217"/>
      <c r="R47" s="49">
        <f t="shared" si="8"/>
        <v>0</v>
      </c>
      <c r="S47" s="217"/>
      <c r="T47" s="49">
        <f t="shared" si="9"/>
        <v>0</v>
      </c>
      <c r="U47" s="217"/>
      <c r="V47" s="49">
        <f t="shared" si="10"/>
        <v>0</v>
      </c>
      <c r="W47" s="223"/>
      <c r="X47" s="49">
        <f t="shared" si="11"/>
        <v>0</v>
      </c>
      <c r="Y47" s="56">
        <f t="shared" si="0"/>
        <v>0</v>
      </c>
      <c r="Z47" s="49">
        <f t="shared" si="12"/>
        <v>0</v>
      </c>
      <c r="AA47" s="93">
        <f t="shared" si="1"/>
        <v>0</v>
      </c>
      <c r="AB47" s="93"/>
      <c r="AC47" s="48">
        <f>(Y47+завтрак!Y47)/10</f>
        <v>0</v>
      </c>
    </row>
    <row r="48" spans="1:29" ht="15">
      <c r="A48" s="52">
        <v>46</v>
      </c>
      <c r="B48" s="50" t="str">
        <f>завтрак!B48</f>
        <v>Кофейный напиток (ячменный)</v>
      </c>
      <c r="C48" s="51" t="str">
        <f>завтрак!C48</f>
        <v>кг</v>
      </c>
      <c r="D48" s="77">
        <f>завтрак!D48</f>
        <v>467</v>
      </c>
      <c r="E48" s="217"/>
      <c r="F48" s="49">
        <f t="shared" si="2"/>
        <v>0</v>
      </c>
      <c r="G48" s="217"/>
      <c r="H48" s="49">
        <f t="shared" si="3"/>
        <v>0</v>
      </c>
      <c r="I48" s="217"/>
      <c r="J48" s="49">
        <f t="shared" si="4"/>
        <v>0</v>
      </c>
      <c r="K48" s="217"/>
      <c r="L48" s="49">
        <f t="shared" si="5"/>
        <v>0</v>
      </c>
      <c r="M48" s="223"/>
      <c r="N48" s="49">
        <f t="shared" si="6"/>
        <v>0</v>
      </c>
      <c r="O48" s="217"/>
      <c r="P48" s="49">
        <f t="shared" si="7"/>
        <v>0</v>
      </c>
      <c r="Q48" s="217"/>
      <c r="R48" s="49">
        <f t="shared" si="8"/>
        <v>0</v>
      </c>
      <c r="S48" s="217"/>
      <c r="T48" s="49">
        <f t="shared" si="9"/>
        <v>0</v>
      </c>
      <c r="U48" s="217"/>
      <c r="V48" s="49">
        <f t="shared" si="10"/>
        <v>0</v>
      </c>
      <c r="W48" s="223"/>
      <c r="X48" s="49">
        <f t="shared" si="11"/>
        <v>0</v>
      </c>
      <c r="Y48" s="56">
        <f t="shared" si="0"/>
        <v>0</v>
      </c>
      <c r="Z48" s="49">
        <f t="shared" si="12"/>
        <v>0</v>
      </c>
      <c r="AA48" s="93">
        <f t="shared" si="1"/>
        <v>0</v>
      </c>
      <c r="AB48" s="93"/>
      <c r="AC48" s="48">
        <f>(Y48+завтрак!Y48)/10</f>
        <v>0.2</v>
      </c>
    </row>
    <row r="49" spans="1:29" ht="15">
      <c r="A49" s="52">
        <v>47</v>
      </c>
      <c r="B49" s="50" t="str">
        <f>завтрак!B49</f>
        <v>Какао порошок</v>
      </c>
      <c r="C49" s="51" t="str">
        <f>завтрак!C49</f>
        <v>кг</v>
      </c>
      <c r="D49" s="77">
        <f>завтрак!D49</f>
        <v>403</v>
      </c>
      <c r="E49" s="217"/>
      <c r="F49" s="49">
        <f t="shared" si="2"/>
        <v>0</v>
      </c>
      <c r="G49" s="217"/>
      <c r="H49" s="49">
        <f t="shared" si="3"/>
        <v>0</v>
      </c>
      <c r="I49" s="217"/>
      <c r="J49" s="49">
        <f t="shared" si="4"/>
        <v>0</v>
      </c>
      <c r="K49" s="217"/>
      <c r="L49" s="49">
        <f t="shared" si="5"/>
        <v>0</v>
      </c>
      <c r="M49" s="223"/>
      <c r="N49" s="49">
        <f t="shared" si="6"/>
        <v>0</v>
      </c>
      <c r="O49" s="217"/>
      <c r="P49" s="49">
        <f t="shared" si="7"/>
        <v>0</v>
      </c>
      <c r="Q49" s="217"/>
      <c r="R49" s="49">
        <f t="shared" si="8"/>
        <v>0</v>
      </c>
      <c r="S49" s="217"/>
      <c r="T49" s="49">
        <f t="shared" si="9"/>
        <v>0</v>
      </c>
      <c r="U49" s="217"/>
      <c r="V49" s="49">
        <f t="shared" si="10"/>
        <v>0</v>
      </c>
      <c r="W49" s="223"/>
      <c r="X49" s="49">
        <f t="shared" si="11"/>
        <v>0</v>
      </c>
      <c r="Y49" s="56">
        <f t="shared" si="0"/>
        <v>0</v>
      </c>
      <c r="Z49" s="49">
        <f t="shared" si="12"/>
        <v>0</v>
      </c>
      <c r="AA49" s="93">
        <f t="shared" si="1"/>
        <v>0</v>
      </c>
      <c r="AB49" s="93"/>
      <c r="AC49" s="48">
        <f>(Y49+завтрак!Y49)/10</f>
        <v>0.3</v>
      </c>
    </row>
    <row r="50" spans="1:29" ht="15">
      <c r="A50" s="52">
        <v>48</v>
      </c>
      <c r="B50" s="50" t="str">
        <f>завтрак!B50</f>
        <v>Чай черный (1 сорт)</v>
      </c>
      <c r="C50" s="51" t="str">
        <f>завтрак!C50</f>
        <v>кг</v>
      </c>
      <c r="D50" s="77">
        <f>завтрак!D50</f>
        <v>507</v>
      </c>
      <c r="E50" s="217"/>
      <c r="F50" s="49">
        <f t="shared" si="2"/>
        <v>0</v>
      </c>
      <c r="G50" s="217"/>
      <c r="H50" s="49">
        <f t="shared" si="3"/>
        <v>0</v>
      </c>
      <c r="I50" s="217"/>
      <c r="J50" s="49">
        <f t="shared" si="4"/>
        <v>0</v>
      </c>
      <c r="K50" s="217"/>
      <c r="L50" s="49">
        <f t="shared" si="5"/>
        <v>0</v>
      </c>
      <c r="M50" s="223"/>
      <c r="N50" s="49">
        <f t="shared" si="6"/>
        <v>0</v>
      </c>
      <c r="O50" s="217"/>
      <c r="P50" s="49">
        <f t="shared" si="7"/>
        <v>0</v>
      </c>
      <c r="Q50" s="217"/>
      <c r="R50" s="49">
        <f t="shared" si="8"/>
        <v>0</v>
      </c>
      <c r="S50" s="217"/>
      <c r="T50" s="49">
        <f t="shared" si="9"/>
        <v>0</v>
      </c>
      <c r="U50" s="217"/>
      <c r="V50" s="49">
        <f t="shared" si="10"/>
        <v>0</v>
      </c>
      <c r="W50" s="223"/>
      <c r="X50" s="49">
        <f t="shared" si="11"/>
        <v>0</v>
      </c>
      <c r="Y50" s="56">
        <f t="shared" si="0"/>
        <v>0</v>
      </c>
      <c r="Z50" s="49">
        <f t="shared" si="12"/>
        <v>0</v>
      </c>
      <c r="AA50" s="93">
        <f t="shared" si="1"/>
        <v>0</v>
      </c>
      <c r="AB50" s="93"/>
      <c r="AC50" s="48">
        <f>(Y50+завтрак!Y50)/10</f>
        <v>0.7</v>
      </c>
    </row>
    <row r="51" spans="1:29" ht="15">
      <c r="A51" s="52">
        <v>49</v>
      </c>
      <c r="B51" s="50" t="str">
        <f>завтрак!B51</f>
        <v>Лавровый лист</v>
      </c>
      <c r="C51" s="51" t="str">
        <f>завтрак!C51</f>
        <v>кг</v>
      </c>
      <c r="D51" s="77">
        <f>завтрак!D51</f>
        <v>617</v>
      </c>
      <c r="E51" s="217">
        <v>0.02</v>
      </c>
      <c r="F51" s="49">
        <f t="shared" si="2"/>
        <v>0.01</v>
      </c>
      <c r="G51" s="217">
        <v>0.02</v>
      </c>
      <c r="H51" s="49">
        <f t="shared" si="3"/>
        <v>0.01</v>
      </c>
      <c r="I51" s="217">
        <v>0.02</v>
      </c>
      <c r="J51" s="49">
        <f t="shared" si="4"/>
        <v>0.01</v>
      </c>
      <c r="K51" s="217">
        <v>0.02</v>
      </c>
      <c r="L51" s="49">
        <f t="shared" si="5"/>
        <v>0.01</v>
      </c>
      <c r="M51" s="223">
        <v>0.02</v>
      </c>
      <c r="N51" s="49">
        <f t="shared" si="6"/>
        <v>0.01</v>
      </c>
      <c r="O51" s="217">
        <v>0.02</v>
      </c>
      <c r="P51" s="49">
        <f t="shared" si="7"/>
        <v>0.01</v>
      </c>
      <c r="Q51" s="217">
        <v>0.02</v>
      </c>
      <c r="R51" s="49">
        <f t="shared" si="8"/>
        <v>0.01</v>
      </c>
      <c r="S51" s="217">
        <v>0.02</v>
      </c>
      <c r="T51" s="49">
        <f t="shared" si="9"/>
        <v>0.01</v>
      </c>
      <c r="U51" s="217">
        <v>0.02</v>
      </c>
      <c r="V51" s="49">
        <f t="shared" si="10"/>
        <v>0.01</v>
      </c>
      <c r="W51" s="223">
        <v>0.02</v>
      </c>
      <c r="X51" s="49">
        <f t="shared" si="11"/>
        <v>0.01</v>
      </c>
      <c r="Y51" s="56">
        <f t="shared" si="0"/>
        <v>0.2</v>
      </c>
      <c r="Z51" s="49">
        <f t="shared" si="12"/>
        <v>0.12</v>
      </c>
      <c r="AA51" s="93">
        <f t="shared" si="1"/>
        <v>1</v>
      </c>
      <c r="AB51" s="93"/>
      <c r="AC51" s="48">
        <f>(Y51+завтрак!Y51)/10</f>
        <v>0.02</v>
      </c>
    </row>
    <row r="52" spans="1:29" ht="15">
      <c r="A52" s="52">
        <v>50</v>
      </c>
      <c r="B52" s="50" t="str">
        <f>завтрак!B52</f>
        <v>Хлеб пшеничный</v>
      </c>
      <c r="C52" s="51" t="str">
        <f>завтрак!C52</f>
        <v>кг</v>
      </c>
      <c r="D52" s="77">
        <f>завтрак!D52</f>
        <v>48</v>
      </c>
      <c r="E52" s="217">
        <v>50</v>
      </c>
      <c r="F52" s="49">
        <f t="shared" si="2"/>
        <v>2.4</v>
      </c>
      <c r="G52" s="217">
        <v>50</v>
      </c>
      <c r="H52" s="49">
        <f t="shared" si="3"/>
        <v>2.4</v>
      </c>
      <c r="I52" s="217">
        <v>50</v>
      </c>
      <c r="J52" s="49">
        <f t="shared" si="4"/>
        <v>2.4</v>
      </c>
      <c r="K52" s="217">
        <v>50</v>
      </c>
      <c r="L52" s="49">
        <f t="shared" si="5"/>
        <v>2.4</v>
      </c>
      <c r="M52" s="223">
        <f>13+13+50</f>
        <v>76</v>
      </c>
      <c r="N52" s="49">
        <f t="shared" si="6"/>
        <v>3.65</v>
      </c>
      <c r="O52" s="217">
        <f>6+50</f>
        <v>56</v>
      </c>
      <c r="P52" s="49">
        <f t="shared" si="7"/>
        <v>2.69</v>
      </c>
      <c r="Q52" s="217">
        <v>50</v>
      </c>
      <c r="R52" s="49">
        <f t="shared" si="8"/>
        <v>2.4</v>
      </c>
      <c r="S52" s="217">
        <v>40</v>
      </c>
      <c r="T52" s="49">
        <f t="shared" si="9"/>
        <v>1.92</v>
      </c>
      <c r="U52" s="217">
        <f>13+11+50</f>
        <v>74</v>
      </c>
      <c r="V52" s="49">
        <f t="shared" si="10"/>
        <v>3.55</v>
      </c>
      <c r="W52" s="223">
        <v>45</v>
      </c>
      <c r="X52" s="49">
        <f t="shared" si="11"/>
        <v>2.16</v>
      </c>
      <c r="Y52" s="56">
        <f t="shared" si="0"/>
        <v>541</v>
      </c>
      <c r="Z52" s="49">
        <f t="shared" si="12"/>
        <v>25.97</v>
      </c>
      <c r="AA52" s="93">
        <f t="shared" si="1"/>
        <v>2705</v>
      </c>
      <c r="AB52" s="93"/>
      <c r="AC52" s="48">
        <f>(Y52+завтрак!Y52)/10</f>
        <v>99.9</v>
      </c>
    </row>
    <row r="53" spans="1:29" ht="15">
      <c r="A53" s="52">
        <v>51</v>
      </c>
      <c r="B53" s="50" t="str">
        <f>завтрак!B53</f>
        <v>Хлеб ржаной</v>
      </c>
      <c r="C53" s="51" t="str">
        <f>завтрак!C53</f>
        <v>кг</v>
      </c>
      <c r="D53" s="77">
        <f>завтрак!D53</f>
        <v>52</v>
      </c>
      <c r="E53" s="217"/>
      <c r="F53" s="49">
        <f t="shared" si="2"/>
        <v>0</v>
      </c>
      <c r="G53" s="217"/>
      <c r="H53" s="49">
        <f t="shared" si="3"/>
        <v>0</v>
      </c>
      <c r="I53" s="217"/>
      <c r="J53" s="49">
        <f t="shared" si="4"/>
        <v>0</v>
      </c>
      <c r="K53" s="217"/>
      <c r="L53" s="49">
        <f t="shared" si="5"/>
        <v>0</v>
      </c>
      <c r="M53" s="223"/>
      <c r="N53" s="49">
        <f t="shared" si="6"/>
        <v>0</v>
      </c>
      <c r="O53" s="217"/>
      <c r="P53" s="49">
        <f t="shared" si="7"/>
        <v>0</v>
      </c>
      <c r="Q53" s="217"/>
      <c r="R53" s="49">
        <f t="shared" si="8"/>
        <v>0</v>
      </c>
      <c r="S53" s="217">
        <v>40</v>
      </c>
      <c r="T53" s="49">
        <f t="shared" si="9"/>
        <v>2.08</v>
      </c>
      <c r="U53" s="217"/>
      <c r="V53" s="49">
        <f t="shared" si="10"/>
        <v>0</v>
      </c>
      <c r="W53" s="223"/>
      <c r="X53" s="49">
        <f t="shared" si="11"/>
        <v>0</v>
      </c>
      <c r="Y53" s="56">
        <f t="shared" si="0"/>
        <v>40</v>
      </c>
      <c r="Z53" s="49">
        <f t="shared" si="12"/>
        <v>2.08</v>
      </c>
      <c r="AA53" s="93">
        <f t="shared" si="1"/>
        <v>200</v>
      </c>
      <c r="AB53" s="93"/>
      <c r="AC53" s="48">
        <f>(Y53+завтрак!Y53)/10</f>
        <v>8</v>
      </c>
    </row>
    <row r="54" spans="1:29" ht="15">
      <c r="A54" s="52">
        <v>52</v>
      </c>
      <c r="B54" s="50" t="str">
        <f>завтрак!B54</f>
        <v>Печенье в ассортименте</v>
      </c>
      <c r="C54" s="51" t="str">
        <f>завтрак!C54</f>
        <v>кг</v>
      </c>
      <c r="D54" s="77">
        <f>завтрак!D54</f>
        <v>153</v>
      </c>
      <c r="E54" s="217"/>
      <c r="F54" s="49">
        <f t="shared" si="2"/>
        <v>0</v>
      </c>
      <c r="G54" s="217"/>
      <c r="H54" s="49">
        <f t="shared" si="3"/>
        <v>0</v>
      </c>
      <c r="I54" s="217"/>
      <c r="J54" s="49">
        <f t="shared" si="4"/>
        <v>0</v>
      </c>
      <c r="K54" s="217"/>
      <c r="L54" s="49">
        <f t="shared" si="5"/>
        <v>0</v>
      </c>
      <c r="M54" s="223"/>
      <c r="N54" s="49">
        <f t="shared" si="6"/>
        <v>0</v>
      </c>
      <c r="O54" s="217"/>
      <c r="P54" s="49">
        <f t="shared" si="7"/>
        <v>0</v>
      </c>
      <c r="Q54" s="217"/>
      <c r="R54" s="49">
        <f t="shared" si="8"/>
        <v>0</v>
      </c>
      <c r="S54" s="217"/>
      <c r="T54" s="49">
        <f t="shared" si="9"/>
        <v>0</v>
      </c>
      <c r="U54" s="217"/>
      <c r="V54" s="49">
        <f t="shared" si="10"/>
        <v>0</v>
      </c>
      <c r="W54" s="223"/>
      <c r="X54" s="49">
        <f t="shared" si="11"/>
        <v>0</v>
      </c>
      <c r="Y54" s="56">
        <f t="shared" si="0"/>
        <v>0</v>
      </c>
      <c r="Z54" s="49">
        <f t="shared" si="12"/>
        <v>0</v>
      </c>
      <c r="AA54" s="93">
        <f t="shared" si="1"/>
        <v>0</v>
      </c>
      <c r="AB54" s="93"/>
      <c r="AC54" s="48">
        <f>(Y54+завтрак!Y54)/10</f>
        <v>0</v>
      </c>
    </row>
    <row r="55" spans="1:29" ht="15">
      <c r="A55" s="52">
        <v>53</v>
      </c>
      <c r="B55" s="50" t="str">
        <f>завтрак!B55</f>
        <v>Пряник 1 сорт</v>
      </c>
      <c r="C55" s="51" t="str">
        <f>завтрак!C55</f>
        <v>кг</v>
      </c>
      <c r="D55" s="77">
        <f>завтрак!D55</f>
        <v>153</v>
      </c>
      <c r="E55" s="217"/>
      <c r="F55" s="49">
        <f t="shared" si="2"/>
        <v>0</v>
      </c>
      <c r="G55" s="217"/>
      <c r="H55" s="49">
        <f t="shared" si="3"/>
        <v>0</v>
      </c>
      <c r="I55" s="217"/>
      <c r="J55" s="49">
        <f t="shared" si="4"/>
        <v>0</v>
      </c>
      <c r="K55" s="217">
        <v>60</v>
      </c>
      <c r="L55" s="49">
        <f t="shared" si="5"/>
        <v>9.18</v>
      </c>
      <c r="M55" s="223"/>
      <c r="N55" s="49">
        <f t="shared" si="6"/>
        <v>0</v>
      </c>
      <c r="O55" s="217"/>
      <c r="P55" s="49">
        <f t="shared" si="7"/>
        <v>0</v>
      </c>
      <c r="Q55" s="217"/>
      <c r="R55" s="49">
        <f t="shared" si="8"/>
        <v>0</v>
      </c>
      <c r="S55" s="217"/>
      <c r="T55" s="49">
        <f t="shared" si="9"/>
        <v>0</v>
      </c>
      <c r="U55" s="217"/>
      <c r="V55" s="49">
        <f t="shared" si="10"/>
        <v>0</v>
      </c>
      <c r="W55" s="223">
        <v>40</v>
      </c>
      <c r="X55" s="49">
        <f t="shared" si="11"/>
        <v>6.12</v>
      </c>
      <c r="Y55" s="56">
        <f t="shared" si="0"/>
        <v>100</v>
      </c>
      <c r="Z55" s="49">
        <f t="shared" si="12"/>
        <v>15.3</v>
      </c>
      <c r="AA55" s="93">
        <f t="shared" si="1"/>
        <v>500</v>
      </c>
      <c r="AB55" s="93"/>
      <c r="AC55" s="48">
        <f>(Y55+завтрак!Y55)/10</f>
        <v>20</v>
      </c>
    </row>
    <row r="56" spans="1:29" ht="15">
      <c r="A56" s="52">
        <v>54</v>
      </c>
      <c r="B56" s="50" t="str">
        <f>завтрак!B56</f>
        <v>Фасоль сухая</v>
      </c>
      <c r="C56" s="51" t="str">
        <f>завтрак!C56</f>
        <v>кг</v>
      </c>
      <c r="D56" s="77">
        <f>завтрак!D56</f>
        <v>185</v>
      </c>
      <c r="E56" s="217"/>
      <c r="F56" s="49">
        <f t="shared" si="2"/>
        <v>0</v>
      </c>
      <c r="G56" s="217"/>
      <c r="H56" s="49">
        <f t="shared" si="3"/>
        <v>0</v>
      </c>
      <c r="I56" s="217"/>
      <c r="J56" s="49">
        <f t="shared" si="4"/>
        <v>0</v>
      </c>
      <c r="K56" s="217"/>
      <c r="L56" s="49">
        <f t="shared" si="5"/>
        <v>0</v>
      </c>
      <c r="M56" s="223"/>
      <c r="N56" s="49">
        <f t="shared" si="6"/>
        <v>0</v>
      </c>
      <c r="O56" s="217"/>
      <c r="P56" s="49">
        <f t="shared" si="7"/>
        <v>0</v>
      </c>
      <c r="Q56" s="217"/>
      <c r="R56" s="49">
        <f t="shared" si="8"/>
        <v>0</v>
      </c>
      <c r="S56" s="217">
        <v>30</v>
      </c>
      <c r="T56" s="49">
        <f t="shared" si="9"/>
        <v>5.55</v>
      </c>
      <c r="U56" s="217"/>
      <c r="V56" s="49">
        <f t="shared" si="10"/>
        <v>0</v>
      </c>
      <c r="W56" s="223"/>
      <c r="X56" s="49">
        <f t="shared" si="11"/>
        <v>0</v>
      </c>
      <c r="Y56" s="56">
        <f t="shared" si="0"/>
        <v>30</v>
      </c>
      <c r="Z56" s="49">
        <f t="shared" si="12"/>
        <v>5.55</v>
      </c>
      <c r="AA56" s="93">
        <f t="shared" si="1"/>
        <v>150</v>
      </c>
      <c r="AB56" s="93"/>
      <c r="AC56" s="48">
        <f>(Y56+завтрак!Y56)/10</f>
        <v>3</v>
      </c>
    </row>
    <row r="57" spans="1:29" ht="15">
      <c r="A57" s="52">
        <v>55</v>
      </c>
      <c r="B57" s="50" t="str">
        <f>завтрак!B57</f>
        <v>Лимон свежий (1 сорт)</v>
      </c>
      <c r="C57" s="51" t="str">
        <f>завтрак!C57</f>
        <v>кг</v>
      </c>
      <c r="D57" s="77">
        <f>завтрак!D57</f>
        <v>220</v>
      </c>
      <c r="E57" s="217"/>
      <c r="F57" s="49">
        <f t="shared" si="2"/>
        <v>0</v>
      </c>
      <c r="G57" s="217"/>
      <c r="H57" s="49">
        <f t="shared" si="3"/>
        <v>0</v>
      </c>
      <c r="I57" s="217"/>
      <c r="J57" s="49">
        <f t="shared" si="4"/>
        <v>0</v>
      </c>
      <c r="K57" s="217"/>
      <c r="L57" s="49">
        <f t="shared" si="5"/>
        <v>0</v>
      </c>
      <c r="M57" s="223"/>
      <c r="N57" s="49">
        <f t="shared" si="6"/>
        <v>0</v>
      </c>
      <c r="O57" s="217"/>
      <c r="P57" s="49">
        <f t="shared" si="7"/>
        <v>0</v>
      </c>
      <c r="Q57" s="217"/>
      <c r="R57" s="49">
        <f t="shared" si="8"/>
        <v>0</v>
      </c>
      <c r="S57" s="217"/>
      <c r="T57" s="49">
        <f t="shared" si="9"/>
        <v>0</v>
      </c>
      <c r="U57" s="217"/>
      <c r="V57" s="49">
        <f t="shared" si="10"/>
        <v>0</v>
      </c>
      <c r="W57" s="223"/>
      <c r="X57" s="49">
        <f t="shared" si="11"/>
        <v>0</v>
      </c>
      <c r="Y57" s="56">
        <f t="shared" si="0"/>
        <v>0</v>
      </c>
      <c r="Z57" s="49">
        <f t="shared" si="12"/>
        <v>0</v>
      </c>
      <c r="AA57" s="93">
        <f t="shared" si="1"/>
        <v>0</v>
      </c>
      <c r="AB57" s="93"/>
      <c r="AC57" s="48">
        <f>(Y57+завтрак!Y57)/10</f>
        <v>2.3</v>
      </c>
    </row>
    <row r="58" spans="1:29" ht="15">
      <c r="A58" s="52">
        <v>56</v>
      </c>
      <c r="B58" s="50" t="str">
        <f>завтрак!B58</f>
        <v>Груши свежие (1 сорт)</v>
      </c>
      <c r="C58" s="51" t="str">
        <f>завтрак!C58</f>
        <v>кг</v>
      </c>
      <c r="D58" s="77">
        <f>завтрак!D58</f>
        <v>283</v>
      </c>
      <c r="E58" s="217"/>
      <c r="F58" s="49">
        <f t="shared" si="2"/>
        <v>0</v>
      </c>
      <c r="G58" s="217"/>
      <c r="H58" s="49">
        <f t="shared" si="3"/>
        <v>0</v>
      </c>
      <c r="I58" s="217"/>
      <c r="J58" s="49">
        <f t="shared" si="4"/>
        <v>0</v>
      </c>
      <c r="K58" s="217"/>
      <c r="L58" s="49">
        <f t="shared" si="5"/>
        <v>0</v>
      </c>
      <c r="M58" s="223"/>
      <c r="N58" s="49">
        <f t="shared" si="6"/>
        <v>0</v>
      </c>
      <c r="O58" s="217"/>
      <c r="P58" s="49">
        <f t="shared" si="7"/>
        <v>0</v>
      </c>
      <c r="Q58" s="217"/>
      <c r="R58" s="49">
        <f t="shared" si="8"/>
        <v>0</v>
      </c>
      <c r="S58" s="217"/>
      <c r="T58" s="49">
        <f t="shared" si="9"/>
        <v>0</v>
      </c>
      <c r="U58" s="217">
        <v>70</v>
      </c>
      <c r="V58" s="49">
        <f t="shared" si="10"/>
        <v>19.81</v>
      </c>
      <c r="W58" s="223"/>
      <c r="X58" s="49">
        <f t="shared" si="11"/>
        <v>0</v>
      </c>
      <c r="Y58" s="56">
        <f t="shared" si="0"/>
        <v>70</v>
      </c>
      <c r="Z58" s="49">
        <f t="shared" si="12"/>
        <v>19.81</v>
      </c>
      <c r="AA58" s="93">
        <f t="shared" si="1"/>
        <v>350</v>
      </c>
      <c r="AB58" s="93"/>
      <c r="AC58" s="48">
        <f>(Y58+завтрак!Y58)/10</f>
        <v>13</v>
      </c>
    </row>
    <row r="59" spans="1:28" ht="15.75">
      <c r="A59" s="53"/>
      <c r="B59" s="54" t="s">
        <v>63</v>
      </c>
      <c r="C59" s="51"/>
      <c r="D59" s="49"/>
      <c r="E59" s="217"/>
      <c r="F59" s="107">
        <f>SUM(F3:F58)</f>
        <v>79.8</v>
      </c>
      <c r="G59" s="217"/>
      <c r="H59" s="107">
        <f>SUM(H3:H58)</f>
        <v>79.8</v>
      </c>
      <c r="I59" s="217"/>
      <c r="J59" s="107">
        <f>SUM(J3:J58)</f>
        <v>79.8</v>
      </c>
      <c r="K59" s="217"/>
      <c r="L59" s="107">
        <f>SUM(L3:L58)</f>
        <v>79.8</v>
      </c>
      <c r="M59" s="223"/>
      <c r="N59" s="107">
        <f>SUM(N3:N58)</f>
        <v>79.8</v>
      </c>
      <c r="O59" s="217"/>
      <c r="P59" s="107">
        <f>SUM(P3:P58)</f>
        <v>79.8</v>
      </c>
      <c r="Q59" s="217"/>
      <c r="R59" s="107">
        <f>SUM(R3:R58)</f>
        <v>79.8</v>
      </c>
      <c r="S59" s="217"/>
      <c r="T59" s="107">
        <f>SUM(T3:T58)</f>
        <v>79.8</v>
      </c>
      <c r="U59" s="217"/>
      <c r="V59" s="107">
        <f>SUM(V3:V58)</f>
        <v>79.8</v>
      </c>
      <c r="W59" s="223"/>
      <c r="X59" s="107">
        <f>SUM(X3:X58)</f>
        <v>79.8</v>
      </c>
      <c r="Y59" s="56">
        <f>(E59+G59+I59+K59+M59+O59+Q59+S59+U59+W59)</f>
        <v>0</v>
      </c>
      <c r="Z59" s="49">
        <f t="shared" si="12"/>
        <v>0</v>
      </c>
      <c r="AA59" s="93"/>
      <c r="AB59" s="93"/>
    </row>
    <row r="60" spans="1:28" ht="12.75">
      <c r="A60" s="49"/>
      <c r="B60" s="49"/>
      <c r="C60" s="49"/>
      <c r="D60" s="49"/>
      <c r="E60" s="217"/>
      <c r="F60" s="49"/>
      <c r="G60" s="217"/>
      <c r="H60" s="49"/>
      <c r="I60" s="217"/>
      <c r="J60" s="49"/>
      <c r="K60" s="217"/>
      <c r="L60" s="49"/>
      <c r="M60" s="223"/>
      <c r="N60" s="49"/>
      <c r="O60" s="217"/>
      <c r="P60" s="49"/>
      <c r="Q60" s="217"/>
      <c r="R60" s="49"/>
      <c r="S60" s="217"/>
      <c r="T60" s="49"/>
      <c r="U60" s="217"/>
      <c r="V60" s="49"/>
      <c r="W60" s="223"/>
      <c r="X60" s="49"/>
      <c r="Y60" s="56"/>
      <c r="Z60" s="49">
        <f>SUM(Z3:Z59)</f>
        <v>797.9</v>
      </c>
      <c r="AA60" s="93"/>
      <c r="AB60" s="93"/>
    </row>
    <row r="82" ht="12.75">
      <c r="B8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6"/>
  <sheetViews>
    <sheetView zoomScalePageLayoutView="0" workbookViewId="0" topLeftCell="D1">
      <selection activeCell="A1" sqref="A1:P1"/>
    </sheetView>
  </sheetViews>
  <sheetFormatPr defaultColWidth="9.00390625" defaultRowHeight="12.75"/>
  <cols>
    <col min="1" max="1" width="3.625" style="0" customWidth="1"/>
    <col min="2" max="2" width="37.625" style="0" customWidth="1"/>
    <col min="3" max="3" width="4.875" style="0" bestFit="1" customWidth="1"/>
    <col min="4" max="4" width="7.625" style="0" customWidth="1"/>
    <col min="5" max="5" width="8.125" style="0" customWidth="1"/>
    <col min="6" max="6" width="7.875" style="0" bestFit="1" customWidth="1"/>
    <col min="7" max="7" width="9.375" style="0" customWidth="1"/>
    <col min="8" max="8" width="7.875" style="0" customWidth="1"/>
    <col min="9" max="9" width="9.00390625" style="0" customWidth="1"/>
    <col min="10" max="10" width="8.25390625" style="0" customWidth="1"/>
    <col min="11" max="11" width="8.125" style="0" customWidth="1"/>
    <col min="12" max="12" width="11.875" style="0" bestFit="1" customWidth="1"/>
    <col min="13" max="13" width="9.00390625" style="244" customWidth="1"/>
    <col min="14" max="14" width="9.625" style="0" customWidth="1"/>
    <col min="15" max="15" width="11.875" style="0" bestFit="1" customWidth="1"/>
    <col min="16" max="16" width="9.375" style="0" customWidth="1"/>
    <col min="17" max="17" width="10.125" style="62" customWidth="1"/>
  </cols>
  <sheetData>
    <row r="1" spans="1:16" ht="15">
      <c r="A1" s="266" t="s">
        <v>231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1"/>
    </row>
    <row r="2" spans="1:15" ht="15">
      <c r="A2" s="79"/>
      <c r="B2" s="79"/>
      <c r="C2" s="79"/>
      <c r="D2" s="79"/>
      <c r="E2" s="79"/>
      <c r="F2" s="79"/>
      <c r="G2" s="79"/>
      <c r="H2" s="94"/>
      <c r="I2" s="79"/>
      <c r="J2" s="79"/>
      <c r="K2" s="79"/>
      <c r="L2" s="79"/>
      <c r="M2" s="238"/>
      <c r="N2" s="79"/>
      <c r="O2" s="79"/>
    </row>
    <row r="3" spans="1:17" ht="30">
      <c r="A3" s="80" t="s">
        <v>3</v>
      </c>
      <c r="B3" s="80" t="s">
        <v>52</v>
      </c>
      <c r="C3" s="80" t="s">
        <v>58</v>
      </c>
      <c r="D3" s="80" t="s">
        <v>53</v>
      </c>
      <c r="E3" s="80" t="s">
        <v>117</v>
      </c>
      <c r="F3" s="124" t="s">
        <v>60</v>
      </c>
      <c r="G3" s="124" t="s">
        <v>59</v>
      </c>
      <c r="H3" s="80" t="s">
        <v>118</v>
      </c>
      <c r="I3" s="124" t="s">
        <v>60</v>
      </c>
      <c r="J3" s="124" t="s">
        <v>119</v>
      </c>
      <c r="K3" s="124" t="s">
        <v>61</v>
      </c>
      <c r="L3" s="80" t="s">
        <v>54</v>
      </c>
      <c r="M3" s="239" t="s">
        <v>67</v>
      </c>
      <c r="N3" s="80" t="s">
        <v>62</v>
      </c>
      <c r="O3" s="80" t="s">
        <v>54</v>
      </c>
      <c r="P3" s="95" t="s">
        <v>62</v>
      </c>
      <c r="Q3" s="247" t="s">
        <v>54</v>
      </c>
    </row>
    <row r="4" spans="1:17" ht="15">
      <c r="A4" s="81">
        <f>завтрак!A3</f>
        <v>1</v>
      </c>
      <c r="B4" s="82" t="str">
        <f>обед!B3</f>
        <v>Яйцо (1 сорт)</v>
      </c>
      <c r="C4" s="83" t="str">
        <f>обед!C3</f>
        <v>шт</v>
      </c>
      <c r="D4" s="103">
        <f>обед!D3</f>
        <v>13.5</v>
      </c>
      <c r="E4" s="89">
        <f>завтрак!AA3</f>
        <v>10.25</v>
      </c>
      <c r="F4" s="86">
        <v>209</v>
      </c>
      <c r="G4" s="86">
        <f>E4*F4</f>
        <v>2142.25</v>
      </c>
      <c r="H4" s="125">
        <f>обед!AA3</f>
        <v>2.9</v>
      </c>
      <c r="I4" s="86">
        <v>217</v>
      </c>
      <c r="J4" s="86">
        <f>H4*I4</f>
        <v>629.3</v>
      </c>
      <c r="K4" s="86">
        <f>G4+J4</f>
        <v>2771.55</v>
      </c>
      <c r="L4" s="87">
        <f aca="true" t="shared" si="0" ref="L4:L35">D4*K4</f>
        <v>37415.93</v>
      </c>
      <c r="M4" s="240">
        <v>120</v>
      </c>
      <c r="N4" s="88">
        <f aca="true" t="shared" si="1" ref="N4:N59">K4-M4</f>
        <v>2651.55</v>
      </c>
      <c r="O4" s="87">
        <f aca="true" t="shared" si="2" ref="O4:O35">N4*D4</f>
        <v>35795.93</v>
      </c>
      <c r="P4" s="131">
        <f>N4</f>
        <v>2652</v>
      </c>
      <c r="Q4" s="245">
        <f aca="true" t="shared" si="3" ref="Q4:Q35">P4*D4</f>
        <v>35802</v>
      </c>
    </row>
    <row r="5" spans="1:17" ht="15">
      <c r="A5" s="81">
        <f>завтрак!A4</f>
        <v>2</v>
      </c>
      <c r="B5" s="82" t="str">
        <f>обед!B4</f>
        <v>Мясо говядины без кости (1 категории)</v>
      </c>
      <c r="C5" s="83" t="str">
        <f>обед!C4</f>
        <v>кг</v>
      </c>
      <c r="D5" s="126">
        <f>обед!D4</f>
        <v>622</v>
      </c>
      <c r="E5" s="89">
        <f>завтрак!AA4</f>
        <v>1525</v>
      </c>
      <c r="F5" s="86">
        <v>209</v>
      </c>
      <c r="G5" s="86">
        <f>E5*F5/1000</f>
        <v>318.725</v>
      </c>
      <c r="H5" s="125">
        <f>обед!AA4</f>
        <v>1710</v>
      </c>
      <c r="I5" s="86">
        <v>217</v>
      </c>
      <c r="J5" s="86">
        <f>H5*I5/1000</f>
        <v>371.07</v>
      </c>
      <c r="K5" s="86">
        <f aca="true" t="shared" si="4" ref="K5:K59">G5+J5</f>
        <v>689.795</v>
      </c>
      <c r="L5" s="87">
        <f t="shared" si="0"/>
        <v>429052.49</v>
      </c>
      <c r="M5" s="240"/>
      <c r="N5" s="88">
        <f t="shared" si="1"/>
        <v>689.8</v>
      </c>
      <c r="O5" s="87">
        <f t="shared" si="2"/>
        <v>429055.6</v>
      </c>
      <c r="P5" s="131">
        <f aca="true" t="shared" si="5" ref="P5:P59">N5</f>
        <v>690</v>
      </c>
      <c r="Q5" s="245">
        <f t="shared" si="3"/>
        <v>429180</v>
      </c>
    </row>
    <row r="6" spans="1:17" ht="15">
      <c r="A6" s="81">
        <f>завтрак!A5</f>
        <v>3</v>
      </c>
      <c r="B6" s="82" t="str">
        <f>обед!B5</f>
        <v>Мясо птицы (1 категории), курица</v>
      </c>
      <c r="C6" s="83" t="str">
        <f>обед!C5</f>
        <v>кг</v>
      </c>
      <c r="D6" s="126">
        <f>обед!D5</f>
        <v>292</v>
      </c>
      <c r="E6" s="89">
        <f>завтрак!AA5</f>
        <v>1590</v>
      </c>
      <c r="F6" s="86">
        <v>209</v>
      </c>
      <c r="G6" s="86">
        <f aca="true" t="shared" si="6" ref="G6:G59">E6*F6/1000</f>
        <v>332.31</v>
      </c>
      <c r="H6" s="125">
        <f>обед!AA5</f>
        <v>1930</v>
      </c>
      <c r="I6" s="86">
        <v>217</v>
      </c>
      <c r="J6" s="86">
        <f aca="true" t="shared" si="7" ref="J6:J59">H6*I6/1000</f>
        <v>418.81</v>
      </c>
      <c r="K6" s="86">
        <f t="shared" si="4"/>
        <v>751.12</v>
      </c>
      <c r="L6" s="87">
        <f t="shared" si="0"/>
        <v>219327.04</v>
      </c>
      <c r="M6" s="240"/>
      <c r="N6" s="88">
        <f t="shared" si="1"/>
        <v>751.12</v>
      </c>
      <c r="O6" s="87">
        <f t="shared" si="2"/>
        <v>219327.04</v>
      </c>
      <c r="P6" s="131">
        <f t="shared" si="5"/>
        <v>751</v>
      </c>
      <c r="Q6" s="245">
        <f t="shared" si="3"/>
        <v>219292</v>
      </c>
    </row>
    <row r="7" spans="1:17" ht="15">
      <c r="A7" s="81">
        <f>завтрак!A6</f>
        <v>4</v>
      </c>
      <c r="B7" s="82">
        <f>обед!B6</f>
        <v>0</v>
      </c>
      <c r="C7" s="83">
        <f>обед!C6</f>
        <v>0</v>
      </c>
      <c r="D7" s="126">
        <f>обед!D6</f>
        <v>0</v>
      </c>
      <c r="E7" s="89">
        <f>завтрак!AA6</f>
        <v>0</v>
      </c>
      <c r="F7" s="86">
        <v>209</v>
      </c>
      <c r="G7" s="86">
        <f t="shared" si="6"/>
        <v>0</v>
      </c>
      <c r="H7" s="125">
        <f>обед!AA6</f>
        <v>0</v>
      </c>
      <c r="I7" s="86">
        <v>217</v>
      </c>
      <c r="J7" s="86">
        <f t="shared" si="7"/>
        <v>0</v>
      </c>
      <c r="K7" s="86">
        <f t="shared" si="4"/>
        <v>0</v>
      </c>
      <c r="L7" s="87">
        <f t="shared" si="0"/>
        <v>0</v>
      </c>
      <c r="M7" s="240"/>
      <c r="N7" s="88">
        <f t="shared" si="1"/>
        <v>0</v>
      </c>
      <c r="O7" s="87">
        <f t="shared" si="2"/>
        <v>0</v>
      </c>
      <c r="P7" s="131">
        <f t="shared" si="5"/>
        <v>0</v>
      </c>
      <c r="Q7" s="245">
        <f t="shared" si="3"/>
        <v>0</v>
      </c>
    </row>
    <row r="8" spans="1:17" ht="15">
      <c r="A8" s="81">
        <f>завтрак!A7</f>
        <v>5</v>
      </c>
      <c r="B8" s="82">
        <f>обед!B7</f>
        <v>0</v>
      </c>
      <c r="C8" s="83">
        <f>обед!C7</f>
        <v>0</v>
      </c>
      <c r="D8" s="126">
        <f>обед!D7</f>
        <v>0</v>
      </c>
      <c r="E8" s="89">
        <f>завтрак!AA7</f>
        <v>0</v>
      </c>
      <c r="F8" s="86">
        <v>209</v>
      </c>
      <c r="G8" s="86">
        <f t="shared" si="6"/>
        <v>0</v>
      </c>
      <c r="H8" s="125">
        <f>обед!AA7</f>
        <v>0</v>
      </c>
      <c r="I8" s="86">
        <v>217</v>
      </c>
      <c r="J8" s="86">
        <f t="shared" si="7"/>
        <v>0</v>
      </c>
      <c r="K8" s="86">
        <f t="shared" si="4"/>
        <v>0</v>
      </c>
      <c r="L8" s="87">
        <f t="shared" si="0"/>
        <v>0</v>
      </c>
      <c r="M8" s="240"/>
      <c r="N8" s="88">
        <f t="shared" si="1"/>
        <v>0</v>
      </c>
      <c r="O8" s="87">
        <f t="shared" si="2"/>
        <v>0</v>
      </c>
      <c r="P8" s="131">
        <f t="shared" si="5"/>
        <v>0</v>
      </c>
      <c r="Q8" s="245">
        <f t="shared" si="3"/>
        <v>0</v>
      </c>
    </row>
    <row r="9" spans="1:17" ht="15">
      <c r="A9" s="81">
        <f>завтрак!A8</f>
        <v>6</v>
      </c>
      <c r="B9" s="82" t="str">
        <f>обед!B8</f>
        <v>Молоко пастеризованное (2,5%)</v>
      </c>
      <c r="C9" s="83" t="str">
        <f>обед!C8</f>
        <v>л</v>
      </c>
      <c r="D9" s="126">
        <f>обед!D8</f>
        <v>72</v>
      </c>
      <c r="E9" s="89">
        <f>завтрак!AA8</f>
        <v>1210</v>
      </c>
      <c r="F9" s="86">
        <v>209</v>
      </c>
      <c r="G9" s="86">
        <f t="shared" si="6"/>
        <v>252.89</v>
      </c>
      <c r="H9" s="125">
        <f>обед!AA8</f>
        <v>150</v>
      </c>
      <c r="I9" s="86">
        <v>217</v>
      </c>
      <c r="J9" s="86">
        <f t="shared" si="7"/>
        <v>32.55</v>
      </c>
      <c r="K9" s="86">
        <f t="shared" si="4"/>
        <v>285.44</v>
      </c>
      <c r="L9" s="87">
        <f t="shared" si="0"/>
        <v>20551.68</v>
      </c>
      <c r="M9" s="240"/>
      <c r="N9" s="88">
        <f t="shared" si="1"/>
        <v>285.44</v>
      </c>
      <c r="O9" s="87">
        <f t="shared" si="2"/>
        <v>20551.68</v>
      </c>
      <c r="P9" s="131">
        <f t="shared" si="5"/>
        <v>285</v>
      </c>
      <c r="Q9" s="245">
        <f t="shared" si="3"/>
        <v>20520</v>
      </c>
    </row>
    <row r="10" spans="1:17" ht="15">
      <c r="A10" s="81">
        <f>завтрак!A9</f>
        <v>7</v>
      </c>
      <c r="B10" s="82" t="str">
        <f>обед!B9</f>
        <v>Масло сливочное (72,5%)</v>
      </c>
      <c r="C10" s="83" t="str">
        <f>обед!C9</f>
        <v>кг</v>
      </c>
      <c r="D10" s="126">
        <f>обед!D9</f>
        <v>467</v>
      </c>
      <c r="E10" s="89">
        <f>завтрак!AA9</f>
        <v>520</v>
      </c>
      <c r="F10" s="86">
        <v>209</v>
      </c>
      <c r="G10" s="86">
        <f t="shared" si="6"/>
        <v>108.68</v>
      </c>
      <c r="H10" s="125">
        <f>обед!AA9</f>
        <v>335</v>
      </c>
      <c r="I10" s="86">
        <v>217</v>
      </c>
      <c r="J10" s="86">
        <f t="shared" si="7"/>
        <v>72.695</v>
      </c>
      <c r="K10" s="86">
        <f t="shared" si="4"/>
        <v>181.375</v>
      </c>
      <c r="L10" s="87">
        <f t="shared" si="0"/>
        <v>84702.13</v>
      </c>
      <c r="M10" s="240"/>
      <c r="N10" s="88">
        <f t="shared" si="1"/>
        <v>181.38</v>
      </c>
      <c r="O10" s="87">
        <f t="shared" si="2"/>
        <v>84704.46</v>
      </c>
      <c r="P10" s="248">
        <f t="shared" si="5"/>
        <v>181.4</v>
      </c>
      <c r="Q10" s="245">
        <f t="shared" si="3"/>
        <v>84713.8</v>
      </c>
    </row>
    <row r="11" spans="1:17" ht="15">
      <c r="A11" s="81">
        <f>завтрак!A10</f>
        <v>8</v>
      </c>
      <c r="B11" s="82" t="str">
        <f>обед!B10</f>
        <v>Сметана (15%)</v>
      </c>
      <c r="C11" s="83" t="str">
        <f>обед!C10</f>
        <v>кг</v>
      </c>
      <c r="D11" s="126">
        <f>обед!D10</f>
        <v>199</v>
      </c>
      <c r="E11" s="89">
        <f>завтрак!AA10</f>
        <v>250</v>
      </c>
      <c r="F11" s="86">
        <v>209</v>
      </c>
      <c r="G11" s="86">
        <f t="shared" si="6"/>
        <v>52.25</v>
      </c>
      <c r="H11" s="125">
        <f>обед!AA10</f>
        <v>425</v>
      </c>
      <c r="I11" s="86">
        <v>217</v>
      </c>
      <c r="J11" s="86">
        <f t="shared" si="7"/>
        <v>92.225</v>
      </c>
      <c r="K11" s="86">
        <f t="shared" si="4"/>
        <v>144.475</v>
      </c>
      <c r="L11" s="87">
        <f t="shared" si="0"/>
        <v>28750.53</v>
      </c>
      <c r="M11" s="240"/>
      <c r="N11" s="88">
        <f t="shared" si="1"/>
        <v>144.48</v>
      </c>
      <c r="O11" s="87">
        <f t="shared" si="2"/>
        <v>28751.52</v>
      </c>
      <c r="P11" s="131">
        <f t="shared" si="5"/>
        <v>144</v>
      </c>
      <c r="Q11" s="245">
        <f t="shared" si="3"/>
        <v>28656</v>
      </c>
    </row>
    <row r="12" spans="1:17" ht="15">
      <c r="A12" s="81">
        <f>завтрак!A11</f>
        <v>9</v>
      </c>
      <c r="B12" s="82" t="str">
        <f>обед!B11</f>
        <v>Творог (5%)</v>
      </c>
      <c r="C12" s="83" t="str">
        <f>обед!C11</f>
        <v>кг</v>
      </c>
      <c r="D12" s="126">
        <f>обед!D11</f>
        <v>217</v>
      </c>
      <c r="E12" s="89">
        <f>завтрак!AA11</f>
        <v>860</v>
      </c>
      <c r="F12" s="86">
        <v>209</v>
      </c>
      <c r="G12" s="86">
        <f t="shared" si="6"/>
        <v>179.74</v>
      </c>
      <c r="H12" s="125">
        <f>обед!AA11</f>
        <v>0</v>
      </c>
      <c r="I12" s="86">
        <v>217</v>
      </c>
      <c r="J12" s="86">
        <f t="shared" si="7"/>
        <v>0</v>
      </c>
      <c r="K12" s="86">
        <f t="shared" si="4"/>
        <v>179.74</v>
      </c>
      <c r="L12" s="87">
        <f t="shared" si="0"/>
        <v>39003.58</v>
      </c>
      <c r="M12" s="240"/>
      <c r="N12" s="88">
        <f t="shared" si="1"/>
        <v>179.74</v>
      </c>
      <c r="O12" s="87">
        <f t="shared" si="2"/>
        <v>39003.58</v>
      </c>
      <c r="P12" s="131">
        <f t="shared" si="5"/>
        <v>180</v>
      </c>
      <c r="Q12" s="245">
        <f t="shared" si="3"/>
        <v>39060</v>
      </c>
    </row>
    <row r="13" spans="1:17" ht="15">
      <c r="A13" s="81">
        <f>завтрак!A12</f>
        <v>10</v>
      </c>
      <c r="B13" s="82" t="str">
        <f>обед!B12</f>
        <v>Сыр твердый (45%)</v>
      </c>
      <c r="C13" s="83" t="str">
        <f>обед!C12</f>
        <v>кг</v>
      </c>
      <c r="D13" s="126">
        <f>обед!D12</f>
        <v>543</v>
      </c>
      <c r="E13" s="89">
        <f>завтрак!AA12</f>
        <v>260</v>
      </c>
      <c r="F13" s="86">
        <v>209</v>
      </c>
      <c r="G13" s="86">
        <f t="shared" si="6"/>
        <v>54.34</v>
      </c>
      <c r="H13" s="125">
        <f>обед!AA12</f>
        <v>170</v>
      </c>
      <c r="I13" s="86">
        <v>217</v>
      </c>
      <c r="J13" s="86">
        <f t="shared" si="7"/>
        <v>36.89</v>
      </c>
      <c r="K13" s="86">
        <f t="shared" si="4"/>
        <v>91.23</v>
      </c>
      <c r="L13" s="87">
        <f t="shared" si="0"/>
        <v>49537.89</v>
      </c>
      <c r="M13" s="240"/>
      <c r="N13" s="88">
        <f t="shared" si="1"/>
        <v>91.23</v>
      </c>
      <c r="O13" s="87">
        <f t="shared" si="2"/>
        <v>49537.89</v>
      </c>
      <c r="P13" s="131">
        <f t="shared" si="5"/>
        <v>91</v>
      </c>
      <c r="Q13" s="245">
        <f t="shared" si="3"/>
        <v>49413</v>
      </c>
    </row>
    <row r="14" spans="1:17" ht="30">
      <c r="A14" s="81">
        <f>завтрак!A13</f>
        <v>11</v>
      </c>
      <c r="B14" s="82" t="str">
        <f>обед!B13</f>
        <v>Молоко сгущенное цельное с сахаром (8,5%)</v>
      </c>
      <c r="C14" s="83" t="str">
        <f>обед!C13</f>
        <v>кг</v>
      </c>
      <c r="D14" s="126">
        <f>обед!D13</f>
        <v>247</v>
      </c>
      <c r="E14" s="89">
        <f>завтрак!AA13</f>
        <v>150</v>
      </c>
      <c r="F14" s="86">
        <v>209</v>
      </c>
      <c r="G14" s="86">
        <f t="shared" si="6"/>
        <v>31.35</v>
      </c>
      <c r="H14" s="125">
        <f>обед!AA13</f>
        <v>0</v>
      </c>
      <c r="I14" s="86">
        <v>217</v>
      </c>
      <c r="J14" s="86">
        <f>H14*I14/1000</f>
        <v>0</v>
      </c>
      <c r="K14" s="86">
        <f t="shared" si="4"/>
        <v>31.35</v>
      </c>
      <c r="L14" s="87">
        <f t="shared" si="0"/>
        <v>7743.45</v>
      </c>
      <c r="M14" s="240"/>
      <c r="N14" s="88">
        <f t="shared" si="1"/>
        <v>31.35</v>
      </c>
      <c r="O14" s="87">
        <f t="shared" si="2"/>
        <v>7743.45</v>
      </c>
      <c r="P14" s="131">
        <f t="shared" si="5"/>
        <v>31</v>
      </c>
      <c r="Q14" s="245">
        <f t="shared" si="3"/>
        <v>7657</v>
      </c>
    </row>
    <row r="15" spans="1:17" ht="15">
      <c r="A15" s="81">
        <f>завтрак!A14</f>
        <v>12</v>
      </c>
      <c r="B15" s="82" t="str">
        <f>обед!B14</f>
        <v>Картофель (1 сорт)</v>
      </c>
      <c r="C15" s="83" t="str">
        <f>обед!C14</f>
        <v>кг</v>
      </c>
      <c r="D15" s="126">
        <f>обед!D14</f>
        <v>54</v>
      </c>
      <c r="E15" s="89">
        <f>завтрак!AA14</f>
        <v>2640</v>
      </c>
      <c r="F15" s="86">
        <v>209</v>
      </c>
      <c r="G15" s="86">
        <f t="shared" si="6"/>
        <v>551.76</v>
      </c>
      <c r="H15" s="125">
        <f>обед!AA14</f>
        <v>6405</v>
      </c>
      <c r="I15" s="86">
        <v>217</v>
      </c>
      <c r="J15" s="86">
        <f t="shared" si="7"/>
        <v>1389.885</v>
      </c>
      <c r="K15" s="86">
        <f t="shared" si="4"/>
        <v>1941.645</v>
      </c>
      <c r="L15" s="87">
        <f t="shared" si="0"/>
        <v>104848.83</v>
      </c>
      <c r="M15" s="240">
        <v>30</v>
      </c>
      <c r="N15" s="88">
        <f t="shared" si="1"/>
        <v>1911.65</v>
      </c>
      <c r="O15" s="87">
        <f t="shared" si="2"/>
        <v>103229.1</v>
      </c>
      <c r="P15" s="131">
        <f t="shared" si="5"/>
        <v>1912</v>
      </c>
      <c r="Q15" s="245">
        <f t="shared" si="3"/>
        <v>103248</v>
      </c>
    </row>
    <row r="16" spans="1:17" ht="15">
      <c r="A16" s="81">
        <f>завтрак!A15</f>
        <v>13</v>
      </c>
      <c r="B16" s="82" t="str">
        <f>обед!B15</f>
        <v>Капуста белокачанная (1 сорт)</v>
      </c>
      <c r="C16" s="83" t="str">
        <f>обед!C15</f>
        <v>кг</v>
      </c>
      <c r="D16" s="126">
        <f>обед!D15</f>
        <v>57</v>
      </c>
      <c r="E16" s="89">
        <f>завтрак!AA15</f>
        <v>0</v>
      </c>
      <c r="F16" s="86">
        <v>209</v>
      </c>
      <c r="G16" s="86">
        <f t="shared" si="6"/>
        <v>0</v>
      </c>
      <c r="H16" s="125">
        <f>обед!AA15</f>
        <v>215</v>
      </c>
      <c r="I16" s="86">
        <v>217</v>
      </c>
      <c r="J16" s="86">
        <f t="shared" si="7"/>
        <v>46.655</v>
      </c>
      <c r="K16" s="86">
        <f t="shared" si="4"/>
        <v>46.655</v>
      </c>
      <c r="L16" s="87">
        <f t="shared" si="0"/>
        <v>2659.34</v>
      </c>
      <c r="M16" s="240"/>
      <c r="N16" s="88">
        <f t="shared" si="1"/>
        <v>46.66</v>
      </c>
      <c r="O16" s="87">
        <f t="shared" si="2"/>
        <v>2659.62</v>
      </c>
      <c r="P16" s="131">
        <f t="shared" si="5"/>
        <v>47</v>
      </c>
      <c r="Q16" s="245">
        <f t="shared" si="3"/>
        <v>2679</v>
      </c>
    </row>
    <row r="17" spans="1:17" ht="15">
      <c r="A17" s="81">
        <f>завтрак!A16</f>
        <v>14</v>
      </c>
      <c r="B17" s="82" t="str">
        <f>обед!B16</f>
        <v>Лук репчатый (1 сорт)</v>
      </c>
      <c r="C17" s="83" t="str">
        <f>обед!C16</f>
        <v>кг</v>
      </c>
      <c r="D17" s="126">
        <f>обед!D16</f>
        <v>49</v>
      </c>
      <c r="E17" s="89">
        <f>завтрак!AA16</f>
        <v>615</v>
      </c>
      <c r="F17" s="86">
        <v>209</v>
      </c>
      <c r="G17" s="86">
        <f t="shared" si="6"/>
        <v>128.535</v>
      </c>
      <c r="H17" s="125">
        <f>обед!AA16</f>
        <v>1120</v>
      </c>
      <c r="I17" s="86">
        <v>217</v>
      </c>
      <c r="J17" s="86">
        <f t="shared" si="7"/>
        <v>243.04</v>
      </c>
      <c r="K17" s="86">
        <f t="shared" si="4"/>
        <v>371.575</v>
      </c>
      <c r="L17" s="87">
        <f t="shared" si="0"/>
        <v>18207.18</v>
      </c>
      <c r="M17" s="240">
        <v>31</v>
      </c>
      <c r="N17" s="88">
        <f t="shared" si="1"/>
        <v>340.58</v>
      </c>
      <c r="O17" s="87">
        <f t="shared" si="2"/>
        <v>16688.42</v>
      </c>
      <c r="P17" s="131">
        <f t="shared" si="5"/>
        <v>341</v>
      </c>
      <c r="Q17" s="245">
        <f t="shared" si="3"/>
        <v>16709</v>
      </c>
    </row>
    <row r="18" spans="1:17" ht="15">
      <c r="A18" s="81">
        <f>завтрак!A17</f>
        <v>15</v>
      </c>
      <c r="B18" s="82" t="str">
        <f>обед!B17</f>
        <v>Морковь (1 сорт)</v>
      </c>
      <c r="C18" s="83" t="str">
        <f>обед!C17</f>
        <v>кг</v>
      </c>
      <c r="D18" s="126">
        <f>обед!D17</f>
        <v>60</v>
      </c>
      <c r="E18" s="89">
        <f>завтрак!AA17</f>
        <v>195</v>
      </c>
      <c r="F18" s="86">
        <v>209</v>
      </c>
      <c r="G18" s="86">
        <f t="shared" si="6"/>
        <v>40.755</v>
      </c>
      <c r="H18" s="125">
        <f>обед!AA17</f>
        <v>815</v>
      </c>
      <c r="I18" s="86">
        <v>217</v>
      </c>
      <c r="J18" s="86">
        <f t="shared" si="7"/>
        <v>176.855</v>
      </c>
      <c r="K18" s="86">
        <f t="shared" si="4"/>
        <v>217.61</v>
      </c>
      <c r="L18" s="87">
        <f t="shared" si="0"/>
        <v>13056.6</v>
      </c>
      <c r="M18" s="240">
        <v>9</v>
      </c>
      <c r="N18" s="88">
        <f t="shared" si="1"/>
        <v>208.61</v>
      </c>
      <c r="O18" s="87">
        <f t="shared" si="2"/>
        <v>12516.6</v>
      </c>
      <c r="P18" s="131">
        <f t="shared" si="5"/>
        <v>209</v>
      </c>
      <c r="Q18" s="245">
        <f t="shared" si="3"/>
        <v>12540</v>
      </c>
    </row>
    <row r="19" spans="1:17" ht="15">
      <c r="A19" s="81">
        <f>завтрак!A18</f>
        <v>16</v>
      </c>
      <c r="B19" s="82" t="str">
        <f>обед!B18</f>
        <v>Свекла (1 сорт)</v>
      </c>
      <c r="C19" s="83" t="str">
        <f>обед!C18</f>
        <v>кг</v>
      </c>
      <c r="D19" s="126">
        <f>обед!D18</f>
        <v>51</v>
      </c>
      <c r="E19" s="89">
        <f>завтрак!AA18</f>
        <v>445</v>
      </c>
      <c r="F19" s="86">
        <v>209</v>
      </c>
      <c r="G19" s="86">
        <f t="shared" si="6"/>
        <v>93.005</v>
      </c>
      <c r="H19" s="125">
        <f>обед!AA18</f>
        <v>1500</v>
      </c>
      <c r="I19" s="86">
        <v>217</v>
      </c>
      <c r="J19" s="86">
        <f t="shared" si="7"/>
        <v>325.5</v>
      </c>
      <c r="K19" s="86">
        <f t="shared" si="4"/>
        <v>418.505</v>
      </c>
      <c r="L19" s="87">
        <f t="shared" si="0"/>
        <v>21343.76</v>
      </c>
      <c r="M19" s="240">
        <v>7</v>
      </c>
      <c r="N19" s="88">
        <f t="shared" si="1"/>
        <v>411.51</v>
      </c>
      <c r="O19" s="87">
        <f t="shared" si="2"/>
        <v>20987.01</v>
      </c>
      <c r="P19" s="131">
        <f t="shared" si="5"/>
        <v>412</v>
      </c>
      <c r="Q19" s="245">
        <f t="shared" si="3"/>
        <v>21012</v>
      </c>
    </row>
    <row r="20" spans="1:17" ht="30">
      <c r="A20" s="81">
        <f>завтрак!A19</f>
        <v>17</v>
      </c>
      <c r="B20" s="82" t="str">
        <f>обед!B19</f>
        <v>Огурцы консервированные без уксуса (1 с)</v>
      </c>
      <c r="C20" s="83" t="str">
        <f>обед!C19</f>
        <v>кг</v>
      </c>
      <c r="D20" s="126">
        <f>обед!D19</f>
        <v>74</v>
      </c>
      <c r="E20" s="89">
        <f>завтрак!AA19</f>
        <v>415</v>
      </c>
      <c r="F20" s="86">
        <v>209</v>
      </c>
      <c r="G20" s="86">
        <f t="shared" si="6"/>
        <v>86.735</v>
      </c>
      <c r="H20" s="125">
        <f>обед!AA19</f>
        <v>210</v>
      </c>
      <c r="I20" s="86">
        <v>217</v>
      </c>
      <c r="J20" s="86">
        <f t="shared" si="7"/>
        <v>45.57</v>
      </c>
      <c r="K20" s="86">
        <f t="shared" si="4"/>
        <v>132.305</v>
      </c>
      <c r="L20" s="87">
        <f t="shared" si="0"/>
        <v>9790.57</v>
      </c>
      <c r="M20" s="240"/>
      <c r="N20" s="88">
        <f t="shared" si="1"/>
        <v>132.31</v>
      </c>
      <c r="O20" s="87">
        <f t="shared" si="2"/>
        <v>9790.94</v>
      </c>
      <c r="P20" s="131">
        <f t="shared" si="5"/>
        <v>132</v>
      </c>
      <c r="Q20" s="245">
        <f t="shared" si="3"/>
        <v>9768</v>
      </c>
    </row>
    <row r="21" spans="1:17" ht="15" customHeight="1">
      <c r="A21" s="81">
        <f>завтрак!A20</f>
        <v>18</v>
      </c>
      <c r="B21" s="82" t="str">
        <f>обед!B20</f>
        <v>Икра кабачковая для дет. питания</v>
      </c>
      <c r="C21" s="83" t="str">
        <f>обед!C20</f>
        <v>кг</v>
      </c>
      <c r="D21" s="126">
        <f>обед!D20</f>
        <v>123</v>
      </c>
      <c r="E21" s="89">
        <f>завтрак!AA20</f>
        <v>500</v>
      </c>
      <c r="F21" s="86">
        <v>209</v>
      </c>
      <c r="G21" s="86">
        <f t="shared" si="6"/>
        <v>104.5</v>
      </c>
      <c r="H21" s="125">
        <f>обед!AA20</f>
        <v>0</v>
      </c>
      <c r="I21" s="86">
        <v>217</v>
      </c>
      <c r="J21" s="86">
        <f t="shared" si="7"/>
        <v>0</v>
      </c>
      <c r="K21" s="86">
        <f t="shared" si="4"/>
        <v>104.5</v>
      </c>
      <c r="L21" s="87">
        <f t="shared" si="0"/>
        <v>12853.5</v>
      </c>
      <c r="M21" s="240">
        <v>5.2</v>
      </c>
      <c r="N21" s="88">
        <f t="shared" si="1"/>
        <v>99.3</v>
      </c>
      <c r="O21" s="87">
        <f t="shared" si="2"/>
        <v>12213.9</v>
      </c>
      <c r="P21" s="131">
        <f t="shared" si="5"/>
        <v>99</v>
      </c>
      <c r="Q21" s="245">
        <f t="shared" si="3"/>
        <v>12177</v>
      </c>
    </row>
    <row r="22" spans="1:17" ht="15">
      <c r="A22" s="81">
        <f>завтрак!A21</f>
        <v>19</v>
      </c>
      <c r="B22" s="82" t="str">
        <f>обед!B21</f>
        <v>Горошек зеленый (сорт салатный)</v>
      </c>
      <c r="C22" s="83" t="str">
        <f>обед!C21</f>
        <v>кг</v>
      </c>
      <c r="D22" s="126">
        <f>обед!D21</f>
        <v>123</v>
      </c>
      <c r="E22" s="89">
        <f>завтрак!AA21</f>
        <v>305</v>
      </c>
      <c r="F22" s="86">
        <v>209</v>
      </c>
      <c r="G22" s="86">
        <f t="shared" si="6"/>
        <v>63.745</v>
      </c>
      <c r="H22" s="125">
        <f>обед!AA21</f>
        <v>280</v>
      </c>
      <c r="I22" s="86">
        <v>217</v>
      </c>
      <c r="J22" s="86">
        <f t="shared" si="7"/>
        <v>60.76</v>
      </c>
      <c r="K22" s="86">
        <f t="shared" si="4"/>
        <v>124.505</v>
      </c>
      <c r="L22" s="87">
        <f t="shared" si="0"/>
        <v>15314.12</v>
      </c>
      <c r="M22" s="240"/>
      <c r="N22" s="88">
        <f t="shared" si="1"/>
        <v>124.51</v>
      </c>
      <c r="O22" s="87">
        <f t="shared" si="2"/>
        <v>15314.73</v>
      </c>
      <c r="P22" s="131">
        <f t="shared" si="5"/>
        <v>125</v>
      </c>
      <c r="Q22" s="245">
        <f t="shared" si="3"/>
        <v>15375</v>
      </c>
    </row>
    <row r="23" spans="1:17" ht="30">
      <c r="A23" s="142">
        <f>завтрак!A22</f>
        <v>20</v>
      </c>
      <c r="B23" s="82" t="str">
        <f>обед!B22</f>
        <v>Томатная паста с содержанием с/в (25-30%)</v>
      </c>
      <c r="C23" s="83" t="str">
        <f>обед!C22</f>
        <v>кг</v>
      </c>
      <c r="D23" s="126">
        <f>обед!D22</f>
        <v>142</v>
      </c>
      <c r="E23" s="89">
        <f>завтрак!AA22</f>
        <v>50</v>
      </c>
      <c r="F23" s="86">
        <v>209</v>
      </c>
      <c r="G23" s="86">
        <f t="shared" si="6"/>
        <v>10.45</v>
      </c>
      <c r="H23" s="125">
        <f>обед!AA22</f>
        <v>105</v>
      </c>
      <c r="I23" s="86">
        <v>217</v>
      </c>
      <c r="J23" s="86">
        <f t="shared" si="7"/>
        <v>22.785</v>
      </c>
      <c r="K23" s="86">
        <f t="shared" si="4"/>
        <v>33.235</v>
      </c>
      <c r="L23" s="87">
        <f t="shared" si="0"/>
        <v>4719.37</v>
      </c>
      <c r="M23" s="240">
        <v>2</v>
      </c>
      <c r="N23" s="88">
        <f t="shared" si="1"/>
        <v>31.24</v>
      </c>
      <c r="O23" s="87">
        <f t="shared" si="2"/>
        <v>4436.08</v>
      </c>
      <c r="P23" s="131">
        <f t="shared" si="5"/>
        <v>31</v>
      </c>
      <c r="Q23" s="245">
        <f t="shared" si="3"/>
        <v>4402</v>
      </c>
    </row>
    <row r="24" spans="1:17" ht="15">
      <c r="A24" s="81">
        <f>завтрак!A23</f>
        <v>21</v>
      </c>
      <c r="B24" s="82" t="str">
        <f>обед!B23</f>
        <v>Яблоки свежие (1 сорт)</v>
      </c>
      <c r="C24" s="83" t="str">
        <f>обед!C23</f>
        <v>кг</v>
      </c>
      <c r="D24" s="126">
        <f>обед!D23</f>
        <v>110</v>
      </c>
      <c r="E24" s="89">
        <f>завтрак!AA23</f>
        <v>2250</v>
      </c>
      <c r="F24" s="86">
        <v>209</v>
      </c>
      <c r="G24" s="86">
        <f t="shared" si="6"/>
        <v>470.25</v>
      </c>
      <c r="H24" s="125">
        <f>обед!AA23</f>
        <v>2000</v>
      </c>
      <c r="I24" s="86">
        <v>217</v>
      </c>
      <c r="J24" s="86">
        <f t="shared" si="7"/>
        <v>434</v>
      </c>
      <c r="K24" s="86">
        <f t="shared" si="4"/>
        <v>904.25</v>
      </c>
      <c r="L24" s="87">
        <f t="shared" si="0"/>
        <v>99467.5</v>
      </c>
      <c r="M24" s="240">
        <v>25</v>
      </c>
      <c r="N24" s="88">
        <f t="shared" si="1"/>
        <v>879.25</v>
      </c>
      <c r="O24" s="87">
        <f t="shared" si="2"/>
        <v>96717.5</v>
      </c>
      <c r="P24" s="131">
        <f t="shared" si="5"/>
        <v>879</v>
      </c>
      <c r="Q24" s="245">
        <f t="shared" si="3"/>
        <v>96690</v>
      </c>
    </row>
    <row r="25" spans="1:17" ht="15">
      <c r="A25" s="81">
        <f>завтрак!A24</f>
        <v>22</v>
      </c>
      <c r="B25" s="82" t="str">
        <f>обед!B24</f>
        <v>Бананы свежие (1 сорт)</v>
      </c>
      <c r="C25" s="83" t="str">
        <f>обед!C24</f>
        <v>кг</v>
      </c>
      <c r="D25" s="126">
        <f>обед!D24</f>
        <v>172</v>
      </c>
      <c r="E25" s="89">
        <f>завтрак!AA24</f>
        <v>950</v>
      </c>
      <c r="F25" s="86">
        <v>209</v>
      </c>
      <c r="G25" s="86">
        <f t="shared" si="6"/>
        <v>198.55</v>
      </c>
      <c r="H25" s="125">
        <f>обед!AA24</f>
        <v>875</v>
      </c>
      <c r="I25" s="86">
        <v>217</v>
      </c>
      <c r="J25" s="86">
        <f t="shared" si="7"/>
        <v>189.875</v>
      </c>
      <c r="K25" s="86">
        <f t="shared" si="4"/>
        <v>388.425</v>
      </c>
      <c r="L25" s="87">
        <f t="shared" si="0"/>
        <v>66809.1</v>
      </c>
      <c r="M25" s="240"/>
      <c r="N25" s="88">
        <f t="shared" si="1"/>
        <v>388.43</v>
      </c>
      <c r="O25" s="87">
        <f t="shared" si="2"/>
        <v>66809.96</v>
      </c>
      <c r="P25" s="131">
        <f t="shared" si="5"/>
        <v>388</v>
      </c>
      <c r="Q25" s="245">
        <f t="shared" si="3"/>
        <v>66736</v>
      </c>
    </row>
    <row r="26" spans="1:17" ht="15">
      <c r="A26" s="81">
        <f>завтрак!A25</f>
        <v>23</v>
      </c>
      <c r="B26" s="82" t="str">
        <f>обед!B25</f>
        <v>Сухофрукты ассорти</v>
      </c>
      <c r="C26" s="83" t="str">
        <f>обед!C25</f>
        <v>кг</v>
      </c>
      <c r="D26" s="126">
        <f>обед!D25</f>
        <v>140</v>
      </c>
      <c r="E26" s="89">
        <f>завтрак!AA25</f>
        <v>0</v>
      </c>
      <c r="F26" s="86">
        <v>209</v>
      </c>
      <c r="G26" s="86">
        <f t="shared" si="6"/>
        <v>0</v>
      </c>
      <c r="H26" s="125">
        <f>обед!AA25</f>
        <v>720</v>
      </c>
      <c r="I26" s="86">
        <v>217</v>
      </c>
      <c r="J26" s="86">
        <f t="shared" si="7"/>
        <v>156.24</v>
      </c>
      <c r="K26" s="86">
        <f t="shared" si="4"/>
        <v>156.24</v>
      </c>
      <c r="L26" s="87">
        <f t="shared" si="0"/>
        <v>21873.6</v>
      </c>
      <c r="M26" s="240"/>
      <c r="N26" s="88">
        <f t="shared" si="1"/>
        <v>156.24</v>
      </c>
      <c r="O26" s="87">
        <f t="shared" si="2"/>
        <v>21873.6</v>
      </c>
      <c r="P26" s="131">
        <f t="shared" si="5"/>
        <v>156</v>
      </c>
      <c r="Q26" s="245">
        <f t="shared" si="3"/>
        <v>21840</v>
      </c>
    </row>
    <row r="27" spans="1:17" ht="15">
      <c r="A27" s="81">
        <f>завтрак!A26</f>
        <v>24</v>
      </c>
      <c r="B27" s="82" t="str">
        <f>обед!B26</f>
        <v>Изюм</v>
      </c>
      <c r="C27" s="83" t="str">
        <f>обед!C26</f>
        <v>кг</v>
      </c>
      <c r="D27" s="126">
        <f>обед!D26</f>
        <v>293</v>
      </c>
      <c r="E27" s="89">
        <f>завтрак!AA26</f>
        <v>0</v>
      </c>
      <c r="F27" s="86">
        <v>209</v>
      </c>
      <c r="G27" s="86">
        <f t="shared" si="6"/>
        <v>0</v>
      </c>
      <c r="H27" s="125">
        <f>обед!AA26</f>
        <v>0</v>
      </c>
      <c r="I27" s="86">
        <v>217</v>
      </c>
      <c r="J27" s="86">
        <f t="shared" si="7"/>
        <v>0</v>
      </c>
      <c r="K27" s="86">
        <f t="shared" si="4"/>
        <v>0</v>
      </c>
      <c r="L27" s="87">
        <f t="shared" si="0"/>
        <v>0</v>
      </c>
      <c r="M27" s="240"/>
      <c r="N27" s="88">
        <f t="shared" si="1"/>
        <v>0</v>
      </c>
      <c r="O27" s="87">
        <f t="shared" si="2"/>
        <v>0</v>
      </c>
      <c r="P27" s="131">
        <f t="shared" si="5"/>
        <v>0</v>
      </c>
      <c r="Q27" s="245">
        <f t="shared" si="3"/>
        <v>0</v>
      </c>
    </row>
    <row r="28" spans="1:17" ht="15">
      <c r="A28" s="81">
        <f>завтрак!A27</f>
        <v>25</v>
      </c>
      <c r="B28" s="82" t="str">
        <f>обед!B27</f>
        <v>Повидло фруктовое (1 сорт)</v>
      </c>
      <c r="C28" s="83" t="str">
        <f>обед!C27</f>
        <v>кг</v>
      </c>
      <c r="D28" s="126">
        <f>обед!D27</f>
        <v>147</v>
      </c>
      <c r="E28" s="89">
        <f>завтрак!AA27</f>
        <v>0</v>
      </c>
      <c r="F28" s="86">
        <v>209</v>
      </c>
      <c r="G28" s="86">
        <f t="shared" si="6"/>
        <v>0</v>
      </c>
      <c r="H28" s="125">
        <f>обед!AA27</f>
        <v>0</v>
      </c>
      <c r="I28" s="86">
        <v>217</v>
      </c>
      <c r="J28" s="86">
        <f t="shared" si="7"/>
        <v>0</v>
      </c>
      <c r="K28" s="86">
        <f t="shared" si="4"/>
        <v>0</v>
      </c>
      <c r="L28" s="87">
        <f t="shared" si="0"/>
        <v>0</v>
      </c>
      <c r="M28" s="240"/>
      <c r="N28" s="88">
        <f t="shared" si="1"/>
        <v>0</v>
      </c>
      <c r="O28" s="87">
        <f t="shared" si="2"/>
        <v>0</v>
      </c>
      <c r="P28" s="131">
        <f t="shared" si="5"/>
        <v>0</v>
      </c>
      <c r="Q28" s="245">
        <f t="shared" si="3"/>
        <v>0</v>
      </c>
    </row>
    <row r="29" spans="1:17" ht="15">
      <c r="A29" s="81">
        <f>завтрак!A28</f>
        <v>26</v>
      </c>
      <c r="B29" s="82" t="str">
        <f>обед!B28</f>
        <v>Сок фруктовый (1 литр)</v>
      </c>
      <c r="C29" s="83" t="str">
        <f>обед!C28</f>
        <v>л</v>
      </c>
      <c r="D29" s="126">
        <f>обед!D28</f>
        <v>62</v>
      </c>
      <c r="E29" s="89">
        <f>завтрак!AA28</f>
        <v>1000</v>
      </c>
      <c r="F29" s="86">
        <v>209</v>
      </c>
      <c r="G29" s="86">
        <f t="shared" si="6"/>
        <v>209</v>
      </c>
      <c r="H29" s="125">
        <f>обед!AA28</f>
        <v>0</v>
      </c>
      <c r="I29" s="86">
        <v>217</v>
      </c>
      <c r="J29" s="86">
        <f t="shared" si="7"/>
        <v>0</v>
      </c>
      <c r="K29" s="86">
        <f t="shared" si="4"/>
        <v>209</v>
      </c>
      <c r="L29" s="87">
        <f t="shared" si="0"/>
        <v>12958</v>
      </c>
      <c r="M29" s="240"/>
      <c r="N29" s="88">
        <f t="shared" si="1"/>
        <v>209</v>
      </c>
      <c r="O29" s="87">
        <f t="shared" si="2"/>
        <v>12958</v>
      </c>
      <c r="P29" s="131">
        <f t="shared" si="5"/>
        <v>209</v>
      </c>
      <c r="Q29" s="245">
        <f t="shared" si="3"/>
        <v>12958</v>
      </c>
    </row>
    <row r="30" spans="1:17" ht="15">
      <c r="A30" s="81">
        <f>завтрак!A29</f>
        <v>27</v>
      </c>
      <c r="B30" s="82" t="str">
        <f>обед!B29</f>
        <v>Масло растительное, рафинированное</v>
      </c>
      <c r="C30" s="83" t="str">
        <f>обед!C29</f>
        <v>кг</v>
      </c>
      <c r="D30" s="126">
        <f>обед!D29</f>
        <v>145</v>
      </c>
      <c r="E30" s="89">
        <f>завтрак!AA29</f>
        <v>360</v>
      </c>
      <c r="F30" s="86">
        <v>209</v>
      </c>
      <c r="G30" s="86">
        <f t="shared" si="6"/>
        <v>75.24</v>
      </c>
      <c r="H30" s="125">
        <f>обед!AA29</f>
        <v>505</v>
      </c>
      <c r="I30" s="86">
        <v>217</v>
      </c>
      <c r="J30" s="86">
        <f t="shared" si="7"/>
        <v>109.585</v>
      </c>
      <c r="K30" s="86">
        <f t="shared" si="4"/>
        <v>184.825</v>
      </c>
      <c r="L30" s="87">
        <f t="shared" si="0"/>
        <v>26799.63</v>
      </c>
      <c r="M30" s="240"/>
      <c r="N30" s="88">
        <f t="shared" si="1"/>
        <v>184.83</v>
      </c>
      <c r="O30" s="87">
        <f t="shared" si="2"/>
        <v>26800.35</v>
      </c>
      <c r="P30" s="131">
        <f t="shared" si="5"/>
        <v>185</v>
      </c>
      <c r="Q30" s="245">
        <f t="shared" si="3"/>
        <v>26825</v>
      </c>
    </row>
    <row r="31" spans="1:17" ht="15">
      <c r="A31" s="81">
        <f>завтрак!A30</f>
        <v>28</v>
      </c>
      <c r="B31" s="82" t="str">
        <f>обед!B30</f>
        <v>Рыба с/м (1 сорт), минтай</v>
      </c>
      <c r="C31" s="83" t="str">
        <f>обед!C30</f>
        <v>кг</v>
      </c>
      <c r="D31" s="126">
        <f>обед!D30</f>
        <v>210</v>
      </c>
      <c r="E31" s="89">
        <f>завтрак!AA30</f>
        <v>1230</v>
      </c>
      <c r="F31" s="86">
        <v>209</v>
      </c>
      <c r="G31" s="86">
        <f t="shared" si="6"/>
        <v>257.07</v>
      </c>
      <c r="H31" s="125">
        <f>обед!AA30</f>
        <v>1230</v>
      </c>
      <c r="I31" s="86">
        <v>217</v>
      </c>
      <c r="J31" s="86">
        <f t="shared" si="7"/>
        <v>266.91</v>
      </c>
      <c r="K31" s="86">
        <f t="shared" si="4"/>
        <v>523.98</v>
      </c>
      <c r="L31" s="87">
        <f t="shared" si="0"/>
        <v>110035.8</v>
      </c>
      <c r="M31" s="240">
        <v>8</v>
      </c>
      <c r="N31" s="88">
        <f t="shared" si="1"/>
        <v>515.98</v>
      </c>
      <c r="O31" s="87">
        <f t="shared" si="2"/>
        <v>108355.8</v>
      </c>
      <c r="P31" s="131">
        <f t="shared" si="5"/>
        <v>516</v>
      </c>
      <c r="Q31" s="245">
        <f t="shared" si="3"/>
        <v>108360</v>
      </c>
    </row>
    <row r="32" spans="1:17" ht="15">
      <c r="A32" s="81">
        <f>завтрак!A31</f>
        <v>29</v>
      </c>
      <c r="B32" s="82">
        <f>обед!B31</f>
        <v>0</v>
      </c>
      <c r="C32" s="83">
        <f>обед!C31</f>
        <v>0</v>
      </c>
      <c r="D32" s="126">
        <f>обед!D31</f>
        <v>0</v>
      </c>
      <c r="E32" s="89">
        <f>завтрак!AA31</f>
        <v>0</v>
      </c>
      <c r="F32" s="86">
        <v>209</v>
      </c>
      <c r="G32" s="86">
        <f t="shared" si="6"/>
        <v>0</v>
      </c>
      <c r="H32" s="125">
        <f>обед!AA31</f>
        <v>0</v>
      </c>
      <c r="I32" s="86">
        <v>217</v>
      </c>
      <c r="J32" s="86">
        <f t="shared" si="7"/>
        <v>0</v>
      </c>
      <c r="K32" s="86">
        <f t="shared" si="4"/>
        <v>0</v>
      </c>
      <c r="L32" s="87">
        <f t="shared" si="0"/>
        <v>0</v>
      </c>
      <c r="M32" s="240"/>
      <c r="N32" s="88">
        <f t="shared" si="1"/>
        <v>0</v>
      </c>
      <c r="O32" s="87">
        <f t="shared" si="2"/>
        <v>0</v>
      </c>
      <c r="P32" s="131">
        <f t="shared" si="5"/>
        <v>0</v>
      </c>
      <c r="Q32" s="245">
        <f t="shared" si="3"/>
        <v>0</v>
      </c>
    </row>
    <row r="33" spans="1:17" ht="15">
      <c r="A33" s="81">
        <f>завтрак!A32</f>
        <v>30</v>
      </c>
      <c r="B33" s="82" t="str">
        <f>обед!B32</f>
        <v>Мука пшеничная (высший сорт)</v>
      </c>
      <c r="C33" s="83" t="str">
        <f>обед!C32</f>
        <v>кг</v>
      </c>
      <c r="D33" s="126">
        <f>обед!D32</f>
        <v>40</v>
      </c>
      <c r="E33" s="89">
        <f>завтрак!AA32</f>
        <v>1335</v>
      </c>
      <c r="F33" s="86">
        <v>209</v>
      </c>
      <c r="G33" s="86">
        <f t="shared" si="6"/>
        <v>279.015</v>
      </c>
      <c r="H33" s="125">
        <f>обед!AA32</f>
        <v>205</v>
      </c>
      <c r="I33" s="86">
        <v>217</v>
      </c>
      <c r="J33" s="86">
        <f t="shared" si="7"/>
        <v>44.485</v>
      </c>
      <c r="K33" s="86">
        <f t="shared" si="4"/>
        <v>323.5</v>
      </c>
      <c r="L33" s="87">
        <f t="shared" si="0"/>
        <v>12940</v>
      </c>
      <c r="M33" s="240">
        <v>11.3</v>
      </c>
      <c r="N33" s="88">
        <f t="shared" si="1"/>
        <v>312.2</v>
      </c>
      <c r="O33" s="87">
        <f t="shared" si="2"/>
        <v>12488</v>
      </c>
      <c r="P33" s="131">
        <f t="shared" si="5"/>
        <v>312</v>
      </c>
      <c r="Q33" s="245">
        <f t="shared" si="3"/>
        <v>12480</v>
      </c>
    </row>
    <row r="34" spans="1:17" ht="15">
      <c r="A34" s="81">
        <f>завтрак!A33</f>
        <v>31</v>
      </c>
      <c r="B34" s="82" t="str">
        <f>обед!B33</f>
        <v>Крупа гречневая, в инд. уп.</v>
      </c>
      <c r="C34" s="83" t="str">
        <f>обед!C33</f>
        <v>кг</v>
      </c>
      <c r="D34" s="126">
        <f>обед!D33</f>
        <v>85</v>
      </c>
      <c r="E34" s="89">
        <f>завтрак!AA33</f>
        <v>250</v>
      </c>
      <c r="F34" s="86">
        <v>209</v>
      </c>
      <c r="G34" s="86">
        <f t="shared" si="6"/>
        <v>52.25</v>
      </c>
      <c r="H34" s="125">
        <f>обед!AA33</f>
        <v>300</v>
      </c>
      <c r="I34" s="86">
        <v>217</v>
      </c>
      <c r="J34" s="86">
        <f t="shared" si="7"/>
        <v>65.1</v>
      </c>
      <c r="K34" s="86">
        <f t="shared" si="4"/>
        <v>117.35</v>
      </c>
      <c r="L34" s="87">
        <f t="shared" si="0"/>
        <v>9974.75</v>
      </c>
      <c r="M34" s="240">
        <v>8</v>
      </c>
      <c r="N34" s="88">
        <f t="shared" si="1"/>
        <v>109.35</v>
      </c>
      <c r="O34" s="87">
        <f t="shared" si="2"/>
        <v>9294.75</v>
      </c>
      <c r="P34" s="131">
        <f t="shared" si="5"/>
        <v>109</v>
      </c>
      <c r="Q34" s="245">
        <f t="shared" si="3"/>
        <v>9265</v>
      </c>
    </row>
    <row r="35" spans="1:17" ht="15">
      <c r="A35" s="81">
        <f>завтрак!A34</f>
        <v>32</v>
      </c>
      <c r="B35" s="82" t="str">
        <f>обед!B34</f>
        <v>Крупа манная (1 сорт), в инд. уп.</v>
      </c>
      <c r="C35" s="83" t="str">
        <f>обед!C34</f>
        <v>кг</v>
      </c>
      <c r="D35" s="126">
        <f>обед!D34</f>
        <v>58</v>
      </c>
      <c r="E35" s="89">
        <f>завтрак!AA34</f>
        <v>0</v>
      </c>
      <c r="F35" s="86">
        <v>209</v>
      </c>
      <c r="G35" s="86">
        <f t="shared" si="6"/>
        <v>0</v>
      </c>
      <c r="H35" s="125">
        <f>обед!AA34</f>
        <v>0</v>
      </c>
      <c r="I35" s="86">
        <v>217</v>
      </c>
      <c r="J35" s="86">
        <f t="shared" si="7"/>
        <v>0</v>
      </c>
      <c r="K35" s="86">
        <f t="shared" si="4"/>
        <v>0</v>
      </c>
      <c r="L35" s="87">
        <f t="shared" si="0"/>
        <v>0</v>
      </c>
      <c r="M35" s="240"/>
      <c r="N35" s="88">
        <f t="shared" si="1"/>
        <v>0</v>
      </c>
      <c r="O35" s="87">
        <f t="shared" si="2"/>
        <v>0</v>
      </c>
      <c r="P35" s="131">
        <f t="shared" si="5"/>
        <v>0</v>
      </c>
      <c r="Q35" s="245">
        <f t="shared" si="3"/>
        <v>0</v>
      </c>
    </row>
    <row r="36" spans="1:17" ht="15">
      <c r="A36" s="81">
        <f>завтрак!A35</f>
        <v>33</v>
      </c>
      <c r="B36" s="82" t="str">
        <f>обед!B35</f>
        <v>Рис (1 сорт), в инд. уп.</v>
      </c>
      <c r="C36" s="83" t="str">
        <f>обед!C35</f>
        <v>кг</v>
      </c>
      <c r="D36" s="126">
        <f>обед!D35</f>
        <v>116</v>
      </c>
      <c r="E36" s="89">
        <f>завтрак!AA35</f>
        <v>270</v>
      </c>
      <c r="F36" s="86">
        <v>209</v>
      </c>
      <c r="G36" s="86">
        <f t="shared" si="6"/>
        <v>56.43</v>
      </c>
      <c r="H36" s="125">
        <f>обед!AA35</f>
        <v>580</v>
      </c>
      <c r="I36" s="86">
        <v>217</v>
      </c>
      <c r="J36" s="86">
        <f t="shared" si="7"/>
        <v>125.86</v>
      </c>
      <c r="K36" s="86">
        <f t="shared" si="4"/>
        <v>182.29</v>
      </c>
      <c r="L36" s="87">
        <f aca="true" t="shared" si="8" ref="L36:L59">D36*K36</f>
        <v>21145.64</v>
      </c>
      <c r="M36" s="240">
        <v>4.7</v>
      </c>
      <c r="N36" s="88">
        <f t="shared" si="1"/>
        <v>177.59</v>
      </c>
      <c r="O36" s="87">
        <f aca="true" t="shared" si="9" ref="O36:O59">N36*D36</f>
        <v>20600.44</v>
      </c>
      <c r="P36" s="131">
        <f t="shared" si="5"/>
        <v>178</v>
      </c>
      <c r="Q36" s="245">
        <f aca="true" t="shared" si="10" ref="Q36:Q59">P36*D36</f>
        <v>20648</v>
      </c>
    </row>
    <row r="37" spans="1:17" ht="15">
      <c r="A37" s="81">
        <f>завтрак!A36</f>
        <v>34</v>
      </c>
      <c r="B37" s="82" t="str">
        <f>обед!B36</f>
        <v>Крупа пшеничная (1 сорт), в инд. уп.</v>
      </c>
      <c r="C37" s="83" t="str">
        <f>обед!C36</f>
        <v>кг</v>
      </c>
      <c r="D37" s="126">
        <f>обед!D36</f>
        <v>58</v>
      </c>
      <c r="E37" s="89">
        <f>завтрак!AA36</f>
        <v>180</v>
      </c>
      <c r="F37" s="86">
        <v>209</v>
      </c>
      <c r="G37" s="86">
        <f t="shared" si="6"/>
        <v>37.62</v>
      </c>
      <c r="H37" s="125">
        <f>обед!AA36</f>
        <v>180</v>
      </c>
      <c r="I37" s="86">
        <v>217</v>
      </c>
      <c r="J37" s="86">
        <f t="shared" si="7"/>
        <v>39.06</v>
      </c>
      <c r="K37" s="86">
        <f t="shared" si="4"/>
        <v>76.68</v>
      </c>
      <c r="L37" s="87">
        <f t="shared" si="8"/>
        <v>4447.44</v>
      </c>
      <c r="M37" s="240"/>
      <c r="N37" s="88">
        <f t="shared" si="1"/>
        <v>76.68</v>
      </c>
      <c r="O37" s="87">
        <f t="shared" si="9"/>
        <v>4447.44</v>
      </c>
      <c r="P37" s="131">
        <f t="shared" si="5"/>
        <v>77</v>
      </c>
      <c r="Q37" s="245">
        <f t="shared" si="10"/>
        <v>4466</v>
      </c>
    </row>
    <row r="38" spans="1:17" ht="15">
      <c r="A38" s="81">
        <f>завтрак!A37</f>
        <v>35</v>
      </c>
      <c r="B38" s="82" t="str">
        <f>обед!B37</f>
        <v>Пшено (1 сорт), в инд. уп.</v>
      </c>
      <c r="C38" s="83" t="str">
        <f>обед!C37</f>
        <v>кг</v>
      </c>
      <c r="D38" s="126">
        <f>обед!D37</f>
        <v>57</v>
      </c>
      <c r="E38" s="89">
        <f>завтрак!AA37</f>
        <v>270</v>
      </c>
      <c r="F38" s="86">
        <v>209</v>
      </c>
      <c r="G38" s="86">
        <f t="shared" si="6"/>
        <v>56.43</v>
      </c>
      <c r="H38" s="125">
        <f>обед!AA37</f>
        <v>270</v>
      </c>
      <c r="I38" s="86">
        <v>217</v>
      </c>
      <c r="J38" s="86">
        <f t="shared" si="7"/>
        <v>58.59</v>
      </c>
      <c r="K38" s="86">
        <f t="shared" si="4"/>
        <v>115.02</v>
      </c>
      <c r="L38" s="87">
        <f t="shared" si="8"/>
        <v>6556.14</v>
      </c>
      <c r="M38" s="240">
        <v>3.2</v>
      </c>
      <c r="N38" s="88">
        <f t="shared" si="1"/>
        <v>111.82</v>
      </c>
      <c r="O38" s="87">
        <f t="shared" si="9"/>
        <v>6373.74</v>
      </c>
      <c r="P38" s="131">
        <f t="shared" si="5"/>
        <v>112</v>
      </c>
      <c r="Q38" s="245">
        <f t="shared" si="10"/>
        <v>6384</v>
      </c>
    </row>
    <row r="39" spans="1:17" ht="15">
      <c r="A39" s="81">
        <f>завтрак!A38</f>
        <v>36</v>
      </c>
      <c r="B39" s="82" t="str">
        <f>обед!B38</f>
        <v>Горох шлифованный, в инд. уп.</v>
      </c>
      <c r="C39" s="83" t="str">
        <f>обед!C38</f>
        <v>кг</v>
      </c>
      <c r="D39" s="126">
        <f>обед!D38</f>
        <v>54</v>
      </c>
      <c r="E39" s="89">
        <f>завтрак!AA38</f>
        <v>0</v>
      </c>
      <c r="F39" s="86">
        <v>209</v>
      </c>
      <c r="G39" s="86">
        <f t="shared" si="6"/>
        <v>0</v>
      </c>
      <c r="H39" s="125">
        <f>обед!AA38</f>
        <v>100</v>
      </c>
      <c r="I39" s="86">
        <v>217</v>
      </c>
      <c r="J39" s="86">
        <f t="shared" si="7"/>
        <v>21.7</v>
      </c>
      <c r="K39" s="86">
        <f t="shared" si="4"/>
        <v>21.7</v>
      </c>
      <c r="L39" s="87">
        <f t="shared" si="8"/>
        <v>1171.8</v>
      </c>
      <c r="M39" s="240">
        <v>1.6</v>
      </c>
      <c r="N39" s="88">
        <f t="shared" si="1"/>
        <v>20.1</v>
      </c>
      <c r="O39" s="87">
        <f t="shared" si="9"/>
        <v>1085.4</v>
      </c>
      <c r="P39" s="131">
        <f t="shared" si="5"/>
        <v>20</v>
      </c>
      <c r="Q39" s="245">
        <f t="shared" si="10"/>
        <v>1080</v>
      </c>
    </row>
    <row r="40" spans="1:17" ht="15">
      <c r="A40" s="81">
        <f>завтрак!A39</f>
        <v>37</v>
      </c>
      <c r="B40" s="82" t="str">
        <f>обед!B39</f>
        <v>Крупа перловая, в инд. уп.</v>
      </c>
      <c r="C40" s="83" t="str">
        <f>обед!C39</f>
        <v>кг</v>
      </c>
      <c r="D40" s="126">
        <f>обед!D39</f>
        <v>48</v>
      </c>
      <c r="E40" s="89">
        <f>завтрак!AA39</f>
        <v>0</v>
      </c>
      <c r="F40" s="86">
        <v>209</v>
      </c>
      <c r="G40" s="86">
        <f t="shared" si="6"/>
        <v>0</v>
      </c>
      <c r="H40" s="125">
        <f>обед!AA39</f>
        <v>40</v>
      </c>
      <c r="I40" s="86">
        <v>217</v>
      </c>
      <c r="J40" s="86">
        <f t="shared" si="7"/>
        <v>8.68</v>
      </c>
      <c r="K40" s="86">
        <f t="shared" si="4"/>
        <v>8.68</v>
      </c>
      <c r="L40" s="87">
        <f t="shared" si="8"/>
        <v>416.64</v>
      </c>
      <c r="M40" s="240"/>
      <c r="N40" s="88">
        <f t="shared" si="1"/>
        <v>8.68</v>
      </c>
      <c r="O40" s="87">
        <f t="shared" si="9"/>
        <v>416.64</v>
      </c>
      <c r="P40" s="131">
        <f t="shared" si="5"/>
        <v>9</v>
      </c>
      <c r="Q40" s="245">
        <f t="shared" si="10"/>
        <v>432</v>
      </c>
    </row>
    <row r="41" spans="1:17" ht="15">
      <c r="A41" s="81">
        <f>завтрак!A40</f>
        <v>38</v>
      </c>
      <c r="B41" s="82" t="str">
        <f>обед!B40</f>
        <v>Крупа ячневая, в инд. уп.</v>
      </c>
      <c r="C41" s="83" t="str">
        <f>обед!C40</f>
        <v>кг</v>
      </c>
      <c r="D41" s="126">
        <f>обед!D40</f>
        <v>48</v>
      </c>
      <c r="E41" s="89">
        <f>завтрак!AA40</f>
        <v>0</v>
      </c>
      <c r="F41" s="86">
        <v>209</v>
      </c>
      <c r="G41" s="86">
        <f t="shared" si="6"/>
        <v>0</v>
      </c>
      <c r="H41" s="125">
        <f>обед!AA40</f>
        <v>250</v>
      </c>
      <c r="I41" s="86">
        <v>217</v>
      </c>
      <c r="J41" s="86">
        <f t="shared" si="7"/>
        <v>54.25</v>
      </c>
      <c r="K41" s="86">
        <f t="shared" si="4"/>
        <v>54.25</v>
      </c>
      <c r="L41" s="87">
        <f t="shared" si="8"/>
        <v>2604</v>
      </c>
      <c r="M41" s="240">
        <v>19</v>
      </c>
      <c r="N41" s="88">
        <f t="shared" si="1"/>
        <v>35.25</v>
      </c>
      <c r="O41" s="87">
        <f t="shared" si="9"/>
        <v>1692</v>
      </c>
      <c r="P41" s="131">
        <f t="shared" si="5"/>
        <v>35</v>
      </c>
      <c r="Q41" s="245">
        <f t="shared" si="10"/>
        <v>1680</v>
      </c>
    </row>
    <row r="42" spans="1:17" ht="15">
      <c r="A42" s="81">
        <f>завтрак!A41</f>
        <v>39</v>
      </c>
      <c r="B42" s="82" t="str">
        <f>обед!B41</f>
        <v>Хлопья "Геркулес", в инд. уп.</v>
      </c>
      <c r="C42" s="83" t="str">
        <f>обед!C41</f>
        <v>кг</v>
      </c>
      <c r="D42" s="126">
        <f>обед!D41</f>
        <v>76</v>
      </c>
      <c r="E42" s="89">
        <f>завтрак!AA41</f>
        <v>0</v>
      </c>
      <c r="F42" s="86">
        <v>209</v>
      </c>
      <c r="G42" s="86">
        <f t="shared" si="6"/>
        <v>0</v>
      </c>
      <c r="H42" s="125">
        <f>обед!AA41</f>
        <v>0</v>
      </c>
      <c r="I42" s="86">
        <v>217</v>
      </c>
      <c r="J42" s="86">
        <f t="shared" si="7"/>
        <v>0</v>
      </c>
      <c r="K42" s="86">
        <f t="shared" si="4"/>
        <v>0</v>
      </c>
      <c r="L42" s="87">
        <f t="shared" si="8"/>
        <v>0</v>
      </c>
      <c r="M42" s="240"/>
      <c r="N42" s="88">
        <f t="shared" si="1"/>
        <v>0</v>
      </c>
      <c r="O42" s="87">
        <f t="shared" si="9"/>
        <v>0</v>
      </c>
      <c r="P42" s="131">
        <f t="shared" si="5"/>
        <v>0</v>
      </c>
      <c r="Q42" s="245">
        <f t="shared" si="10"/>
        <v>0</v>
      </c>
    </row>
    <row r="43" spans="1:17" ht="15">
      <c r="A43" s="81">
        <f>завтрак!A42</f>
        <v>40</v>
      </c>
      <c r="B43" s="82" t="str">
        <f>обед!B42</f>
        <v>Сахар-песок</v>
      </c>
      <c r="C43" s="83" t="str">
        <f>обед!C42</f>
        <v>кг</v>
      </c>
      <c r="D43" s="126">
        <f>обед!D42</f>
        <v>85</v>
      </c>
      <c r="E43" s="89">
        <f>завтрак!AA42</f>
        <v>735</v>
      </c>
      <c r="F43" s="86">
        <v>209</v>
      </c>
      <c r="G43" s="86">
        <f t="shared" si="6"/>
        <v>153.615</v>
      </c>
      <c r="H43" s="125">
        <f>обед!AA42</f>
        <v>615</v>
      </c>
      <c r="I43" s="86">
        <v>217</v>
      </c>
      <c r="J43" s="86">
        <f t="shared" si="7"/>
        <v>133.455</v>
      </c>
      <c r="K43" s="86">
        <f t="shared" si="4"/>
        <v>287.07</v>
      </c>
      <c r="L43" s="87">
        <f t="shared" si="8"/>
        <v>24400.95</v>
      </c>
      <c r="M43" s="240">
        <v>5.5</v>
      </c>
      <c r="N43" s="88">
        <f t="shared" si="1"/>
        <v>281.57</v>
      </c>
      <c r="O43" s="87">
        <f t="shared" si="9"/>
        <v>23933.45</v>
      </c>
      <c r="P43" s="131">
        <f t="shared" si="5"/>
        <v>282</v>
      </c>
      <c r="Q43" s="245">
        <f t="shared" si="10"/>
        <v>23970</v>
      </c>
    </row>
    <row r="44" spans="1:17" ht="15">
      <c r="A44" s="81">
        <f>завтрак!A43</f>
        <v>41</v>
      </c>
      <c r="B44" s="82" t="str">
        <f>обед!B43</f>
        <v>Макароны (высший сорт)</v>
      </c>
      <c r="C44" s="83" t="str">
        <f>обед!C43</f>
        <v>кг</v>
      </c>
      <c r="D44" s="126">
        <f>обед!D43</f>
        <v>46</v>
      </c>
      <c r="E44" s="89">
        <f>завтрак!AA43</f>
        <v>540</v>
      </c>
      <c r="F44" s="86">
        <v>209</v>
      </c>
      <c r="G44" s="86">
        <f t="shared" si="6"/>
        <v>112.86</v>
      </c>
      <c r="H44" s="125">
        <f>обед!AA43</f>
        <v>510</v>
      </c>
      <c r="I44" s="86">
        <v>217</v>
      </c>
      <c r="J44" s="86">
        <f t="shared" si="7"/>
        <v>110.67</v>
      </c>
      <c r="K44" s="86">
        <f t="shared" si="4"/>
        <v>223.53</v>
      </c>
      <c r="L44" s="87">
        <f t="shared" si="8"/>
        <v>10282.38</v>
      </c>
      <c r="M44" s="240"/>
      <c r="N44" s="88">
        <f t="shared" si="1"/>
        <v>223.53</v>
      </c>
      <c r="O44" s="87">
        <f t="shared" si="9"/>
        <v>10282.38</v>
      </c>
      <c r="P44" s="131">
        <f t="shared" si="5"/>
        <v>224</v>
      </c>
      <c r="Q44" s="245">
        <f t="shared" si="10"/>
        <v>10304</v>
      </c>
    </row>
    <row r="45" spans="1:17" ht="15">
      <c r="A45" s="81">
        <f>завтрак!A44</f>
        <v>42</v>
      </c>
      <c r="B45" s="82" t="str">
        <f>обед!B44</f>
        <v>Вермишель (высший сорт)</v>
      </c>
      <c r="C45" s="83" t="str">
        <f>обед!C44</f>
        <v>кг</v>
      </c>
      <c r="D45" s="126">
        <f>обед!D44</f>
        <v>47</v>
      </c>
      <c r="E45" s="89">
        <f>завтрак!AA44</f>
        <v>0</v>
      </c>
      <c r="F45" s="86">
        <v>209</v>
      </c>
      <c r="G45" s="86">
        <f t="shared" si="6"/>
        <v>0</v>
      </c>
      <c r="H45" s="125">
        <f>обед!AA44</f>
        <v>55</v>
      </c>
      <c r="I45" s="86">
        <v>217</v>
      </c>
      <c r="J45" s="86">
        <f t="shared" si="7"/>
        <v>11.935</v>
      </c>
      <c r="K45" s="86">
        <f t="shared" si="4"/>
        <v>11.935</v>
      </c>
      <c r="L45" s="87">
        <f t="shared" si="8"/>
        <v>560.95</v>
      </c>
      <c r="M45" s="240"/>
      <c r="N45" s="88">
        <f t="shared" si="1"/>
        <v>11.94</v>
      </c>
      <c r="O45" s="87">
        <f t="shared" si="9"/>
        <v>561.18</v>
      </c>
      <c r="P45" s="131">
        <f t="shared" si="5"/>
        <v>12</v>
      </c>
      <c r="Q45" s="245">
        <f t="shared" si="10"/>
        <v>564</v>
      </c>
    </row>
    <row r="46" spans="1:17" ht="15">
      <c r="A46" s="81">
        <f>завтрак!A45</f>
        <v>43</v>
      </c>
      <c r="B46" s="82" t="str">
        <f>обед!B45</f>
        <v>Дрожжи сухие</v>
      </c>
      <c r="C46" s="83" t="str">
        <f>обед!C45</f>
        <v>кг</v>
      </c>
      <c r="D46" s="126">
        <f>обед!D45</f>
        <v>377</v>
      </c>
      <c r="E46" s="89">
        <f>завтрак!AA45</f>
        <v>22.5</v>
      </c>
      <c r="F46" s="86">
        <v>209</v>
      </c>
      <c r="G46" s="86">
        <f t="shared" si="6"/>
        <v>4.7025</v>
      </c>
      <c r="H46" s="125">
        <f>обед!AA45</f>
        <v>0</v>
      </c>
      <c r="I46" s="86">
        <v>217</v>
      </c>
      <c r="J46" s="86">
        <f t="shared" si="7"/>
        <v>0</v>
      </c>
      <c r="K46" s="86">
        <f t="shared" si="4"/>
        <v>4.7025</v>
      </c>
      <c r="L46" s="87">
        <f t="shared" si="8"/>
        <v>1772.84</v>
      </c>
      <c r="M46" s="240">
        <v>0.3</v>
      </c>
      <c r="N46" s="88">
        <f t="shared" si="1"/>
        <v>4.4</v>
      </c>
      <c r="O46" s="87">
        <f t="shared" si="9"/>
        <v>1658.8</v>
      </c>
      <c r="P46" s="248">
        <f t="shared" si="5"/>
        <v>4.4</v>
      </c>
      <c r="Q46" s="245">
        <f t="shared" si="10"/>
        <v>1658.8</v>
      </c>
    </row>
    <row r="47" spans="1:17" ht="15">
      <c r="A47" s="81">
        <f>завтрак!A46</f>
        <v>44</v>
      </c>
      <c r="B47" s="82" t="str">
        <f>обед!B46</f>
        <v>Соль йодированная</v>
      </c>
      <c r="C47" s="83" t="str">
        <f>обед!C46</f>
        <v>кг</v>
      </c>
      <c r="D47" s="126">
        <f>обед!D46</f>
        <v>27</v>
      </c>
      <c r="E47" s="89">
        <f>завтрак!AA46</f>
        <v>125</v>
      </c>
      <c r="F47" s="86">
        <v>209</v>
      </c>
      <c r="G47" s="86">
        <f t="shared" si="6"/>
        <v>26.125</v>
      </c>
      <c r="H47" s="125">
        <f>обед!AA46</f>
        <v>157.5</v>
      </c>
      <c r="I47" s="86">
        <v>217</v>
      </c>
      <c r="J47" s="86">
        <f t="shared" si="7"/>
        <v>34.1775</v>
      </c>
      <c r="K47" s="86">
        <f t="shared" si="4"/>
        <v>60.3025</v>
      </c>
      <c r="L47" s="87">
        <f t="shared" si="8"/>
        <v>1628.17</v>
      </c>
      <c r="M47" s="240"/>
      <c r="N47" s="88">
        <f t="shared" si="1"/>
        <v>60.3</v>
      </c>
      <c r="O47" s="87">
        <f t="shared" si="9"/>
        <v>1628.1</v>
      </c>
      <c r="P47" s="131">
        <f t="shared" si="5"/>
        <v>60</v>
      </c>
      <c r="Q47" s="245">
        <f t="shared" si="10"/>
        <v>1620</v>
      </c>
    </row>
    <row r="48" spans="1:17" ht="15">
      <c r="A48" s="81">
        <f>завтрак!A47</f>
        <v>45</v>
      </c>
      <c r="B48" s="82">
        <f>обед!B47</f>
        <v>0</v>
      </c>
      <c r="C48" s="83">
        <f>обед!C47</f>
        <v>0</v>
      </c>
      <c r="D48" s="126">
        <f>обед!D47</f>
        <v>0</v>
      </c>
      <c r="E48" s="89">
        <f>завтрак!AA47</f>
        <v>0</v>
      </c>
      <c r="F48" s="86">
        <v>209</v>
      </c>
      <c r="G48" s="86">
        <f t="shared" si="6"/>
        <v>0</v>
      </c>
      <c r="H48" s="125">
        <f>обед!AA47</f>
        <v>0</v>
      </c>
      <c r="I48" s="86">
        <v>217</v>
      </c>
      <c r="J48" s="86">
        <f t="shared" si="7"/>
        <v>0</v>
      </c>
      <c r="K48" s="86">
        <f t="shared" si="4"/>
        <v>0</v>
      </c>
      <c r="L48" s="87">
        <f t="shared" si="8"/>
        <v>0</v>
      </c>
      <c r="M48" s="240"/>
      <c r="N48" s="88">
        <f t="shared" si="1"/>
        <v>0</v>
      </c>
      <c r="O48" s="87">
        <f t="shared" si="9"/>
        <v>0</v>
      </c>
      <c r="P48" s="131">
        <f t="shared" si="5"/>
        <v>0</v>
      </c>
      <c r="Q48" s="245">
        <f t="shared" si="10"/>
        <v>0</v>
      </c>
    </row>
    <row r="49" spans="1:17" ht="15">
      <c r="A49" s="81">
        <f>завтрак!A48</f>
        <v>46</v>
      </c>
      <c r="B49" s="82" t="str">
        <f>обед!B48</f>
        <v>Кофейный напиток (ячменный)</v>
      </c>
      <c r="C49" s="83" t="str">
        <f>обед!C48</f>
        <v>кг</v>
      </c>
      <c r="D49" s="126">
        <f>обед!D48</f>
        <v>467</v>
      </c>
      <c r="E49" s="89">
        <f>завтрак!AA48</f>
        <v>10</v>
      </c>
      <c r="F49" s="86">
        <v>209</v>
      </c>
      <c r="G49" s="86">
        <f t="shared" si="6"/>
        <v>2.09</v>
      </c>
      <c r="H49" s="125">
        <f>обед!AA48</f>
        <v>0</v>
      </c>
      <c r="I49" s="86">
        <v>217</v>
      </c>
      <c r="J49" s="86">
        <f t="shared" si="7"/>
        <v>0</v>
      </c>
      <c r="K49" s="86">
        <f t="shared" si="4"/>
        <v>2.09</v>
      </c>
      <c r="L49" s="87">
        <f t="shared" si="8"/>
        <v>976.03</v>
      </c>
      <c r="M49" s="240"/>
      <c r="N49" s="88">
        <f t="shared" si="1"/>
        <v>2.09</v>
      </c>
      <c r="O49" s="87">
        <f t="shared" si="9"/>
        <v>976.03</v>
      </c>
      <c r="P49" s="248">
        <f t="shared" si="5"/>
        <v>2.1</v>
      </c>
      <c r="Q49" s="245">
        <f t="shared" si="10"/>
        <v>980.7</v>
      </c>
    </row>
    <row r="50" spans="1:17" ht="15">
      <c r="A50" s="81">
        <f>завтрак!A49</f>
        <v>47</v>
      </c>
      <c r="B50" s="82" t="str">
        <f>обед!B49</f>
        <v>Какао порошок</v>
      </c>
      <c r="C50" s="83" t="str">
        <f>обед!C49</f>
        <v>кг</v>
      </c>
      <c r="D50" s="126">
        <f>обед!D49</f>
        <v>403</v>
      </c>
      <c r="E50" s="89">
        <f>завтрак!AA49</f>
        <v>15</v>
      </c>
      <c r="F50" s="86">
        <v>209</v>
      </c>
      <c r="G50" s="86">
        <f t="shared" si="6"/>
        <v>3.135</v>
      </c>
      <c r="H50" s="125">
        <f>обед!AA49</f>
        <v>0</v>
      </c>
      <c r="I50" s="86">
        <v>217</v>
      </c>
      <c r="J50" s="86">
        <f t="shared" si="7"/>
        <v>0</v>
      </c>
      <c r="K50" s="86">
        <f t="shared" si="4"/>
        <v>3.135</v>
      </c>
      <c r="L50" s="87">
        <f t="shared" si="8"/>
        <v>1263.41</v>
      </c>
      <c r="M50" s="240"/>
      <c r="N50" s="88">
        <f t="shared" si="1"/>
        <v>3.14</v>
      </c>
      <c r="O50" s="87">
        <f t="shared" si="9"/>
        <v>1265.42</v>
      </c>
      <c r="P50" s="248">
        <f t="shared" si="5"/>
        <v>3.1</v>
      </c>
      <c r="Q50" s="245">
        <f t="shared" si="10"/>
        <v>1249.3</v>
      </c>
    </row>
    <row r="51" spans="1:17" ht="15">
      <c r="A51" s="81">
        <f>завтрак!A50</f>
        <v>48</v>
      </c>
      <c r="B51" s="82" t="str">
        <f>обед!B50</f>
        <v>Чай черный (1 сорт)</v>
      </c>
      <c r="C51" s="83" t="str">
        <f>обед!C50</f>
        <v>кг</v>
      </c>
      <c r="D51" s="126">
        <f>обед!D50</f>
        <v>507</v>
      </c>
      <c r="E51" s="89">
        <f>завтрак!AA50</f>
        <v>35</v>
      </c>
      <c r="F51" s="86">
        <v>209</v>
      </c>
      <c r="G51" s="86">
        <f t="shared" si="6"/>
        <v>7.315</v>
      </c>
      <c r="H51" s="125">
        <f>обед!AA50</f>
        <v>0</v>
      </c>
      <c r="I51" s="86">
        <v>217</v>
      </c>
      <c r="J51" s="86">
        <f t="shared" si="7"/>
        <v>0</v>
      </c>
      <c r="K51" s="86">
        <f t="shared" si="4"/>
        <v>7.315</v>
      </c>
      <c r="L51" s="87">
        <f t="shared" si="8"/>
        <v>3708.71</v>
      </c>
      <c r="M51" s="240">
        <v>0.8</v>
      </c>
      <c r="N51" s="88">
        <f t="shared" si="1"/>
        <v>6.52</v>
      </c>
      <c r="O51" s="87">
        <f t="shared" si="9"/>
        <v>3305.64</v>
      </c>
      <c r="P51" s="248">
        <f t="shared" si="5"/>
        <v>6.5</v>
      </c>
      <c r="Q51" s="245">
        <f t="shared" si="10"/>
        <v>3295.5</v>
      </c>
    </row>
    <row r="52" spans="1:17" ht="15">
      <c r="A52" s="81">
        <f>завтрак!A51</f>
        <v>49</v>
      </c>
      <c r="B52" s="82" t="str">
        <f>обед!B51</f>
        <v>Лавровый лист</v>
      </c>
      <c r="C52" s="83" t="str">
        <f>обед!C51</f>
        <v>кг</v>
      </c>
      <c r="D52" s="126">
        <f>обед!D51</f>
        <v>617</v>
      </c>
      <c r="E52" s="89">
        <f>завтрак!AA51</f>
        <v>0</v>
      </c>
      <c r="F52" s="86">
        <v>209</v>
      </c>
      <c r="G52" s="86">
        <f t="shared" si="6"/>
        <v>0</v>
      </c>
      <c r="H52" s="125">
        <f>обед!AA51</f>
        <v>1</v>
      </c>
      <c r="I52" s="86">
        <v>217</v>
      </c>
      <c r="J52" s="86">
        <f t="shared" si="7"/>
        <v>0.217</v>
      </c>
      <c r="K52" s="86">
        <f t="shared" si="4"/>
        <v>0.217</v>
      </c>
      <c r="L52" s="87">
        <f t="shared" si="8"/>
        <v>133.89</v>
      </c>
      <c r="M52" s="240"/>
      <c r="N52" s="88">
        <f t="shared" si="1"/>
        <v>0.22</v>
      </c>
      <c r="O52" s="87">
        <f t="shared" si="9"/>
        <v>135.74</v>
      </c>
      <c r="P52" s="248">
        <f t="shared" si="5"/>
        <v>0.2</v>
      </c>
      <c r="Q52" s="245">
        <f t="shared" si="10"/>
        <v>123.4</v>
      </c>
    </row>
    <row r="53" spans="1:17" ht="15">
      <c r="A53" s="81">
        <f>завтрак!A52</f>
        <v>50</v>
      </c>
      <c r="B53" s="82" t="str">
        <f>обед!B52</f>
        <v>Хлеб пшеничный</v>
      </c>
      <c r="C53" s="83" t="str">
        <f>обед!C52</f>
        <v>кг</v>
      </c>
      <c r="D53" s="126">
        <f>обед!D52</f>
        <v>48</v>
      </c>
      <c r="E53" s="89">
        <f>завтрак!AA52</f>
        <v>2290</v>
      </c>
      <c r="F53" s="86">
        <v>209</v>
      </c>
      <c r="G53" s="86">
        <f t="shared" si="6"/>
        <v>478.61</v>
      </c>
      <c r="H53" s="125">
        <f>обед!AA52</f>
        <v>2705</v>
      </c>
      <c r="I53" s="86">
        <v>217</v>
      </c>
      <c r="J53" s="86">
        <f t="shared" si="7"/>
        <v>586.985</v>
      </c>
      <c r="K53" s="86">
        <f t="shared" si="4"/>
        <v>1065.595</v>
      </c>
      <c r="L53" s="87">
        <f t="shared" si="8"/>
        <v>51148.56</v>
      </c>
      <c r="M53" s="240"/>
      <c r="N53" s="88">
        <f t="shared" si="1"/>
        <v>1065.6</v>
      </c>
      <c r="O53" s="87">
        <f t="shared" si="9"/>
        <v>51148.8</v>
      </c>
      <c r="P53" s="131">
        <f t="shared" si="5"/>
        <v>1066</v>
      </c>
      <c r="Q53" s="245">
        <f t="shared" si="10"/>
        <v>51168</v>
      </c>
    </row>
    <row r="54" spans="1:17" ht="15">
      <c r="A54" s="81">
        <f>завтрак!A53</f>
        <v>51</v>
      </c>
      <c r="B54" s="82" t="str">
        <f>обед!B53</f>
        <v>Хлеб ржаной</v>
      </c>
      <c r="C54" s="83" t="str">
        <f>обед!C53</f>
        <v>кг</v>
      </c>
      <c r="D54" s="126">
        <f>обед!D53</f>
        <v>52</v>
      </c>
      <c r="E54" s="89">
        <f>завтрак!AA53</f>
        <v>200</v>
      </c>
      <c r="F54" s="86">
        <v>209</v>
      </c>
      <c r="G54" s="86">
        <f t="shared" si="6"/>
        <v>41.8</v>
      </c>
      <c r="H54" s="125">
        <f>обед!AA53</f>
        <v>200</v>
      </c>
      <c r="I54" s="86">
        <v>217</v>
      </c>
      <c r="J54" s="86">
        <f t="shared" si="7"/>
        <v>43.4</v>
      </c>
      <c r="K54" s="86">
        <f t="shared" si="4"/>
        <v>85.2</v>
      </c>
      <c r="L54" s="87">
        <f t="shared" si="8"/>
        <v>4430.4</v>
      </c>
      <c r="M54" s="240"/>
      <c r="N54" s="88">
        <f t="shared" si="1"/>
        <v>85.2</v>
      </c>
      <c r="O54" s="87">
        <f t="shared" si="9"/>
        <v>4430.4</v>
      </c>
      <c r="P54" s="131">
        <f t="shared" si="5"/>
        <v>85</v>
      </c>
      <c r="Q54" s="245">
        <f t="shared" si="10"/>
        <v>4420</v>
      </c>
    </row>
    <row r="55" spans="1:17" ht="15">
      <c r="A55" s="81">
        <f>завтрак!A54</f>
        <v>52</v>
      </c>
      <c r="B55" s="82" t="str">
        <f>обед!B54</f>
        <v>Печенье в ассортименте</v>
      </c>
      <c r="C55" s="83" t="str">
        <f>обед!C54</f>
        <v>кг</v>
      </c>
      <c r="D55" s="126">
        <f>обед!D54</f>
        <v>153</v>
      </c>
      <c r="E55" s="89">
        <f>завтрак!AA54</f>
        <v>0</v>
      </c>
      <c r="F55" s="86">
        <v>209</v>
      </c>
      <c r="G55" s="86">
        <f t="shared" si="6"/>
        <v>0</v>
      </c>
      <c r="H55" s="125">
        <f>обед!AA54</f>
        <v>0</v>
      </c>
      <c r="I55" s="86">
        <v>217</v>
      </c>
      <c r="J55" s="86">
        <f t="shared" si="7"/>
        <v>0</v>
      </c>
      <c r="K55" s="86">
        <f t="shared" si="4"/>
        <v>0</v>
      </c>
      <c r="L55" s="87">
        <f t="shared" si="8"/>
        <v>0</v>
      </c>
      <c r="M55" s="240"/>
      <c r="N55" s="88">
        <f t="shared" si="1"/>
        <v>0</v>
      </c>
      <c r="O55" s="87">
        <f t="shared" si="9"/>
        <v>0</v>
      </c>
      <c r="P55" s="131">
        <f t="shared" si="5"/>
        <v>0</v>
      </c>
      <c r="Q55" s="245">
        <f t="shared" si="10"/>
        <v>0</v>
      </c>
    </row>
    <row r="56" spans="1:17" ht="15">
      <c r="A56" s="81">
        <v>53</v>
      </c>
      <c r="B56" s="82" t="str">
        <f>обед!B55</f>
        <v>Пряник 1 сорт</v>
      </c>
      <c r="C56" s="83" t="str">
        <f>обед!C55</f>
        <v>кг</v>
      </c>
      <c r="D56" s="126">
        <f>обед!D55</f>
        <v>153</v>
      </c>
      <c r="E56" s="89">
        <f>завтрак!AA55</f>
        <v>500</v>
      </c>
      <c r="F56" s="86">
        <v>209</v>
      </c>
      <c r="G56" s="86">
        <f t="shared" si="6"/>
        <v>104.5</v>
      </c>
      <c r="H56" s="125">
        <f>обед!AA55</f>
        <v>500</v>
      </c>
      <c r="I56" s="86">
        <v>217</v>
      </c>
      <c r="J56" s="86">
        <f t="shared" si="7"/>
        <v>108.5</v>
      </c>
      <c r="K56" s="86">
        <f t="shared" si="4"/>
        <v>213</v>
      </c>
      <c r="L56" s="87">
        <f t="shared" si="8"/>
        <v>32589</v>
      </c>
      <c r="M56" s="240"/>
      <c r="N56" s="88">
        <f t="shared" si="1"/>
        <v>213</v>
      </c>
      <c r="O56" s="87">
        <f t="shared" si="9"/>
        <v>32589</v>
      </c>
      <c r="P56" s="131">
        <f t="shared" si="5"/>
        <v>213</v>
      </c>
      <c r="Q56" s="245">
        <f t="shared" si="10"/>
        <v>32589</v>
      </c>
    </row>
    <row r="57" spans="1:17" ht="15">
      <c r="A57" s="81">
        <v>54</v>
      </c>
      <c r="B57" s="82" t="str">
        <f>обед!B56</f>
        <v>Фасоль сухая</v>
      </c>
      <c r="C57" s="83" t="str">
        <f>обед!C56</f>
        <v>кг</v>
      </c>
      <c r="D57" s="126">
        <f>обед!D56</f>
        <v>185</v>
      </c>
      <c r="E57" s="89">
        <f>завтрак!AA56</f>
        <v>0</v>
      </c>
      <c r="F57" s="86">
        <v>209</v>
      </c>
      <c r="G57" s="86">
        <f t="shared" si="6"/>
        <v>0</v>
      </c>
      <c r="H57" s="125">
        <f>обед!AA56</f>
        <v>150</v>
      </c>
      <c r="I57" s="86">
        <v>217</v>
      </c>
      <c r="J57" s="86">
        <f t="shared" si="7"/>
        <v>32.55</v>
      </c>
      <c r="K57" s="86">
        <f t="shared" si="4"/>
        <v>32.55</v>
      </c>
      <c r="L57" s="87">
        <f t="shared" si="8"/>
        <v>6021.75</v>
      </c>
      <c r="M57" s="240"/>
      <c r="N57" s="88">
        <f t="shared" si="1"/>
        <v>32.55</v>
      </c>
      <c r="O57" s="87">
        <f t="shared" si="9"/>
        <v>6021.75</v>
      </c>
      <c r="P57" s="131">
        <f t="shared" si="5"/>
        <v>33</v>
      </c>
      <c r="Q57" s="245">
        <f t="shared" si="10"/>
        <v>6105</v>
      </c>
    </row>
    <row r="58" spans="1:17" ht="15">
      <c r="A58" s="81">
        <v>55</v>
      </c>
      <c r="B58" s="82" t="str">
        <f>обед!B57</f>
        <v>Лимон свежий (1 сорт)</v>
      </c>
      <c r="C58" s="83" t="str">
        <f>обед!C57</f>
        <v>кг</v>
      </c>
      <c r="D58" s="126">
        <f>обед!D57</f>
        <v>220</v>
      </c>
      <c r="E58" s="89">
        <f>завтрак!AA57</f>
        <v>115</v>
      </c>
      <c r="F58" s="86">
        <v>209</v>
      </c>
      <c r="G58" s="86">
        <f t="shared" si="6"/>
        <v>24.035</v>
      </c>
      <c r="H58" s="125">
        <f>обед!AA57</f>
        <v>0</v>
      </c>
      <c r="I58" s="86">
        <v>217</v>
      </c>
      <c r="J58" s="86">
        <f t="shared" si="7"/>
        <v>0</v>
      </c>
      <c r="K58" s="86">
        <f t="shared" si="4"/>
        <v>24.035</v>
      </c>
      <c r="L58" s="87">
        <f t="shared" si="8"/>
        <v>5287.7</v>
      </c>
      <c r="M58" s="240"/>
      <c r="N58" s="88">
        <f t="shared" si="1"/>
        <v>24.04</v>
      </c>
      <c r="O58" s="87">
        <f t="shared" si="9"/>
        <v>5288.8</v>
      </c>
      <c r="P58" s="131">
        <f t="shared" si="5"/>
        <v>24</v>
      </c>
      <c r="Q58" s="245">
        <f t="shared" si="10"/>
        <v>5280</v>
      </c>
    </row>
    <row r="59" spans="1:17" ht="15">
      <c r="A59" s="81">
        <v>56</v>
      </c>
      <c r="B59" s="82" t="str">
        <f>обед!B58</f>
        <v>Груши свежие (1 сорт)</v>
      </c>
      <c r="C59" s="83" t="str">
        <f>обед!C58</f>
        <v>кг</v>
      </c>
      <c r="D59" s="126">
        <f>обед!D58</f>
        <v>283</v>
      </c>
      <c r="E59" s="89">
        <f>завтрак!AA58</f>
        <v>300</v>
      </c>
      <c r="F59" s="86">
        <v>209</v>
      </c>
      <c r="G59" s="86">
        <f t="shared" si="6"/>
        <v>62.7</v>
      </c>
      <c r="H59" s="125">
        <f>обед!AA58</f>
        <v>350</v>
      </c>
      <c r="I59" s="86">
        <v>217</v>
      </c>
      <c r="J59" s="86">
        <f t="shared" si="7"/>
        <v>75.95</v>
      </c>
      <c r="K59" s="86">
        <f t="shared" si="4"/>
        <v>138.65</v>
      </c>
      <c r="L59" s="87">
        <f t="shared" si="8"/>
        <v>39237.95</v>
      </c>
      <c r="M59" s="240"/>
      <c r="N59" s="88">
        <f t="shared" si="1"/>
        <v>138.65</v>
      </c>
      <c r="O59" s="87">
        <f t="shared" si="9"/>
        <v>39237.95</v>
      </c>
      <c r="P59" s="131">
        <f t="shared" si="5"/>
        <v>139</v>
      </c>
      <c r="Q59" s="245">
        <f t="shared" si="10"/>
        <v>39337</v>
      </c>
    </row>
    <row r="60" spans="1:17" ht="15">
      <c r="A60" s="262" t="s">
        <v>63</v>
      </c>
      <c r="B60" s="263"/>
      <c r="C60" s="264"/>
      <c r="D60" s="89"/>
      <c r="E60" s="84"/>
      <c r="F60" s="85"/>
      <c r="G60" s="85"/>
      <c r="H60" s="90"/>
      <c r="I60" s="85"/>
      <c r="J60" s="85"/>
      <c r="K60" s="86"/>
      <c r="L60" s="88">
        <f>SUM(L4:L55)</f>
        <v>1616384.32</v>
      </c>
      <c r="M60" s="241"/>
      <c r="N60" s="132">
        <f>SUM(N4:N59)</f>
        <v>13650.61</v>
      </c>
      <c r="O60" s="130">
        <f>SUM(O4:O59)</f>
        <v>1684684.61</v>
      </c>
      <c r="P60" s="132">
        <f>SUM(P4:P59)</f>
        <v>13652.7</v>
      </c>
      <c r="Q60" s="246">
        <f>SUM(Q4:Q59)</f>
        <v>1684712.5</v>
      </c>
    </row>
    <row r="61" spans="1:16" ht="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242"/>
      <c r="N61" s="108"/>
      <c r="O61" s="108"/>
      <c r="P61" s="62"/>
    </row>
    <row r="62" spans="1:16" ht="15">
      <c r="A62" s="108"/>
      <c r="B62" s="108"/>
      <c r="C62" s="108"/>
      <c r="D62" s="108"/>
      <c r="E62" s="109"/>
      <c r="F62" s="108"/>
      <c r="G62" s="108"/>
      <c r="H62" s="109"/>
      <c r="I62" s="108"/>
      <c r="J62" s="108"/>
      <c r="K62" s="109"/>
      <c r="L62" s="108"/>
      <c r="M62" s="242"/>
      <c r="N62" s="108"/>
      <c r="O62" s="108"/>
      <c r="P62" s="62"/>
    </row>
    <row r="63" spans="1:15" ht="1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54"/>
      <c r="N63" s="70"/>
      <c r="O63" s="70"/>
    </row>
    <row r="64" spans="1:16" ht="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243"/>
      <c r="N64" s="265" t="s">
        <v>162</v>
      </c>
      <c r="O64" s="265"/>
      <c r="P64" s="261"/>
    </row>
    <row r="65" spans="14:16" ht="15">
      <c r="N65" s="261" t="s">
        <v>163</v>
      </c>
      <c r="O65" s="261"/>
      <c r="P65" s="261"/>
    </row>
    <row r="66" ht="15">
      <c r="N66" t="s">
        <v>145</v>
      </c>
    </row>
  </sheetData>
  <sheetProtection/>
  <mergeCells count="4">
    <mergeCell ref="A60:C60"/>
    <mergeCell ref="N64:P64"/>
    <mergeCell ref="N65:P65"/>
    <mergeCell ref="A1:P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57"/>
  <sheetViews>
    <sheetView workbookViewId="0" topLeftCell="A1">
      <selection activeCell="B1" sqref="B1:E1"/>
    </sheetView>
  </sheetViews>
  <sheetFormatPr defaultColWidth="9.00390625" defaultRowHeight="12.75"/>
  <cols>
    <col min="1" max="1" width="4.375" style="0" customWidth="1"/>
    <col min="2" max="2" width="5.75390625" style="0" customWidth="1"/>
    <col min="3" max="3" width="40.875" style="0" customWidth="1"/>
    <col min="4" max="4" width="6.875" style="0" customWidth="1"/>
    <col min="5" max="5" width="12.625" style="0" customWidth="1"/>
  </cols>
  <sheetData>
    <row r="1" spans="2:5" ht="12.75">
      <c r="B1" s="267" t="s">
        <v>232</v>
      </c>
      <c r="C1" s="268"/>
      <c r="D1" s="268"/>
      <c r="E1" s="268"/>
    </row>
    <row r="2" ht="12.75">
      <c r="C2" t="s">
        <v>233</v>
      </c>
    </row>
    <row r="3" spans="2:5" ht="25.5" customHeight="1">
      <c r="B3" s="160" t="s">
        <v>3</v>
      </c>
      <c r="C3" s="99" t="s">
        <v>85</v>
      </c>
      <c r="D3" s="160" t="s">
        <v>58</v>
      </c>
      <c r="E3" s="99" t="s">
        <v>87</v>
      </c>
    </row>
    <row r="4" spans="2:5" ht="15">
      <c r="B4" s="98">
        <v>1</v>
      </c>
      <c r="C4" s="102" t="str">
        <f>Расчет!B4</f>
        <v>Яйцо (1 сорт)</v>
      </c>
      <c r="D4" s="98" t="s">
        <v>48</v>
      </c>
      <c r="E4" s="100">
        <f>Расчет!M4</f>
        <v>120</v>
      </c>
    </row>
    <row r="5" spans="2:5" ht="15">
      <c r="B5" s="98">
        <v>2</v>
      </c>
      <c r="C5" s="102" t="str">
        <f>Расчет!B5</f>
        <v>Мясо говядины без кости (1 категории)</v>
      </c>
      <c r="D5" s="98" t="s">
        <v>44</v>
      </c>
      <c r="E5" s="100">
        <f>Расчет!M5</f>
        <v>0</v>
      </c>
    </row>
    <row r="6" spans="2:5" ht="15">
      <c r="B6" s="98">
        <v>3</v>
      </c>
      <c r="C6" s="102" t="str">
        <f>Расчет!B6</f>
        <v>Мясо птицы (1 категории), курица</v>
      </c>
      <c r="D6" s="98" t="s">
        <v>44</v>
      </c>
      <c r="E6" s="100">
        <f>Расчет!M6</f>
        <v>0</v>
      </c>
    </row>
    <row r="7" spans="2:5" ht="15">
      <c r="B7" s="98">
        <v>4</v>
      </c>
      <c r="C7" s="102">
        <f>Расчет!B7</f>
        <v>0</v>
      </c>
      <c r="D7" s="98" t="s">
        <v>44</v>
      </c>
      <c r="E7" s="100">
        <f>Расчет!M7</f>
        <v>0</v>
      </c>
    </row>
    <row r="8" spans="2:5" ht="15">
      <c r="B8" s="98">
        <v>5</v>
      </c>
      <c r="C8" s="102">
        <f>Расчет!B8</f>
        <v>0</v>
      </c>
      <c r="D8" s="98" t="s">
        <v>44</v>
      </c>
      <c r="E8" s="100">
        <f>Расчет!M8</f>
        <v>0</v>
      </c>
    </row>
    <row r="9" spans="2:5" ht="15">
      <c r="B9" s="98">
        <v>6</v>
      </c>
      <c r="C9" s="102" t="str">
        <f>Расчет!B9</f>
        <v>Молоко пастеризованное (2,5%)</v>
      </c>
      <c r="D9" s="98" t="s">
        <v>45</v>
      </c>
      <c r="E9" s="100">
        <f>Расчет!M9</f>
        <v>0</v>
      </c>
    </row>
    <row r="10" spans="2:5" ht="15">
      <c r="B10" s="98">
        <v>7</v>
      </c>
      <c r="C10" s="102" t="str">
        <f>Расчет!B10</f>
        <v>Масло сливочное (72,5%)</v>
      </c>
      <c r="D10" s="98" t="s">
        <v>44</v>
      </c>
      <c r="E10" s="100">
        <f>Расчет!M10</f>
        <v>0</v>
      </c>
    </row>
    <row r="11" spans="2:5" ht="15">
      <c r="B11" s="98">
        <v>8</v>
      </c>
      <c r="C11" s="102" t="str">
        <f>Расчет!B11</f>
        <v>Сметана (15%)</v>
      </c>
      <c r="D11" s="98" t="s">
        <v>44</v>
      </c>
      <c r="E11" s="101">
        <f>Расчет!M11</f>
        <v>0</v>
      </c>
    </row>
    <row r="12" spans="2:5" ht="15">
      <c r="B12" s="98">
        <v>9</v>
      </c>
      <c r="C12" s="102" t="str">
        <f>Расчет!B12</f>
        <v>Творог (5%)</v>
      </c>
      <c r="D12" s="98" t="s">
        <v>45</v>
      </c>
      <c r="E12" s="101">
        <f>Расчет!M12</f>
        <v>0</v>
      </c>
    </row>
    <row r="13" spans="2:5" ht="15">
      <c r="B13" s="98">
        <v>10</v>
      </c>
      <c r="C13" s="102" t="str">
        <f>Расчет!B13</f>
        <v>Сыр твердый (45%)</v>
      </c>
      <c r="D13" s="98" t="s">
        <v>44</v>
      </c>
      <c r="E13" s="101">
        <f>Расчет!M13</f>
        <v>0</v>
      </c>
    </row>
    <row r="14" spans="2:5" ht="30">
      <c r="B14" s="98">
        <v>11</v>
      </c>
      <c r="C14" s="102" t="str">
        <f>Расчет!B14</f>
        <v>Молоко сгущенное цельное с сахаром (8,5%)</v>
      </c>
      <c r="D14" s="98" t="s">
        <v>44</v>
      </c>
      <c r="E14" s="100">
        <f>Расчет!M14</f>
        <v>0</v>
      </c>
    </row>
    <row r="15" spans="2:5" ht="15">
      <c r="B15" s="98">
        <v>12</v>
      </c>
      <c r="C15" s="102" t="str">
        <f>Расчет!B15</f>
        <v>Картофель (1 сорт)</v>
      </c>
      <c r="D15" s="98" t="s">
        <v>44</v>
      </c>
      <c r="E15" s="100">
        <f>Расчет!M15</f>
        <v>30</v>
      </c>
    </row>
    <row r="16" spans="2:5" ht="15">
      <c r="B16" s="98">
        <v>13</v>
      </c>
      <c r="C16" s="102" t="str">
        <f>Расчет!B16</f>
        <v>Капуста белокачанная (1 сорт)</v>
      </c>
      <c r="D16" s="98" t="s">
        <v>44</v>
      </c>
      <c r="E16" s="100">
        <f>Расчет!M16</f>
        <v>0</v>
      </c>
    </row>
    <row r="17" spans="2:5" ht="15">
      <c r="B17" s="98">
        <v>14</v>
      </c>
      <c r="C17" s="102" t="str">
        <f>Расчет!B17</f>
        <v>Лук репчатый (1 сорт)</v>
      </c>
      <c r="D17" s="98" t="s">
        <v>44</v>
      </c>
      <c r="E17" s="100">
        <f>Расчет!M17</f>
        <v>31</v>
      </c>
    </row>
    <row r="18" spans="2:5" ht="15">
      <c r="B18" s="98">
        <v>15</v>
      </c>
      <c r="C18" s="102" t="str">
        <f>Расчет!B18</f>
        <v>Морковь (1 сорт)</v>
      </c>
      <c r="D18" s="98" t="s">
        <v>44</v>
      </c>
      <c r="E18" s="100">
        <f>Расчет!M18</f>
        <v>9</v>
      </c>
    </row>
    <row r="19" spans="2:5" ht="15">
      <c r="B19" s="98">
        <v>16</v>
      </c>
      <c r="C19" s="102" t="str">
        <f>Расчет!B19</f>
        <v>Свекла (1 сорт)</v>
      </c>
      <c r="D19" s="98" t="s">
        <v>44</v>
      </c>
      <c r="E19" s="100">
        <f>Расчет!M19</f>
        <v>7</v>
      </c>
    </row>
    <row r="20" spans="2:5" ht="15">
      <c r="B20" s="98">
        <v>17</v>
      </c>
      <c r="C20" s="102" t="str">
        <f>Расчет!B20</f>
        <v>Огурцы консервированные без уксуса (1 с)</v>
      </c>
      <c r="D20" s="98" t="s">
        <v>44</v>
      </c>
      <c r="E20" s="100">
        <f>Расчет!M20</f>
        <v>0</v>
      </c>
    </row>
    <row r="21" spans="2:5" ht="15">
      <c r="B21" s="98">
        <v>18</v>
      </c>
      <c r="C21" s="102" t="str">
        <f>Расчет!B21</f>
        <v>Икра кабачковая для дет. питания</v>
      </c>
      <c r="D21" s="98" t="s">
        <v>44</v>
      </c>
      <c r="E21" s="100">
        <f>Расчет!M21</f>
        <v>5.2</v>
      </c>
    </row>
    <row r="22" spans="2:5" ht="15">
      <c r="B22" s="98">
        <v>19</v>
      </c>
      <c r="C22" s="102" t="str">
        <f>Расчет!B22</f>
        <v>Горошек зеленый (сорт салатный)</v>
      </c>
      <c r="D22" s="98" t="s">
        <v>44</v>
      </c>
      <c r="E22" s="100">
        <f>Расчет!M22</f>
        <v>0</v>
      </c>
    </row>
    <row r="23" spans="2:5" ht="15" customHeight="1">
      <c r="B23" s="98">
        <v>20</v>
      </c>
      <c r="C23" s="102" t="str">
        <f>Расчет!B23</f>
        <v>Томатная паста с содержанием с/в (25-30%)</v>
      </c>
      <c r="D23" s="98" t="s">
        <v>44</v>
      </c>
      <c r="E23" s="100">
        <f>Расчет!M23</f>
        <v>2</v>
      </c>
    </row>
    <row r="24" spans="2:5" ht="15">
      <c r="B24" s="98">
        <v>21</v>
      </c>
      <c r="C24" s="102" t="str">
        <f>Расчет!B24</f>
        <v>Яблоки свежие (1 сорт)</v>
      </c>
      <c r="D24" s="98" t="s">
        <v>44</v>
      </c>
      <c r="E24" s="100">
        <f>Расчет!M24</f>
        <v>25</v>
      </c>
    </row>
    <row r="25" spans="2:5" ht="15">
      <c r="B25" s="98">
        <v>22</v>
      </c>
      <c r="C25" s="102" t="str">
        <f>Расчет!B25</f>
        <v>Бананы свежие (1 сорт)</v>
      </c>
      <c r="D25" s="98" t="s">
        <v>44</v>
      </c>
      <c r="E25" s="100">
        <f>Расчет!M25</f>
        <v>0</v>
      </c>
    </row>
    <row r="26" spans="2:5" ht="15">
      <c r="B26" s="98">
        <v>23</v>
      </c>
      <c r="C26" s="102" t="str">
        <f>Расчет!B26</f>
        <v>Сухофрукты ассорти</v>
      </c>
      <c r="D26" s="98" t="s">
        <v>44</v>
      </c>
      <c r="E26" s="100">
        <f>Расчет!M26</f>
        <v>0</v>
      </c>
    </row>
    <row r="27" spans="2:5" ht="15">
      <c r="B27" s="98">
        <v>24</v>
      </c>
      <c r="C27" s="102" t="str">
        <f>Расчет!B27</f>
        <v>Изюм</v>
      </c>
      <c r="D27" s="98" t="s">
        <v>44</v>
      </c>
      <c r="E27" s="100">
        <f>Расчет!M27</f>
        <v>0</v>
      </c>
    </row>
    <row r="28" spans="2:5" ht="15">
      <c r="B28" s="98">
        <v>25</v>
      </c>
      <c r="C28" s="102" t="str">
        <f>Расчет!B28</f>
        <v>Повидло фруктовое (1 сорт)</v>
      </c>
      <c r="D28" s="98" t="s">
        <v>44</v>
      </c>
      <c r="E28" s="100">
        <f>Расчет!M28</f>
        <v>0</v>
      </c>
    </row>
    <row r="29" spans="2:5" ht="15">
      <c r="B29" s="98">
        <v>26</v>
      </c>
      <c r="C29" s="102" t="str">
        <f>Расчет!B29</f>
        <v>Сок фруктовый (1 литр)</v>
      </c>
      <c r="D29" s="98" t="s">
        <v>45</v>
      </c>
      <c r="E29" s="100">
        <f>Расчет!M29</f>
        <v>0</v>
      </c>
    </row>
    <row r="30" spans="2:5" ht="15">
      <c r="B30" s="98">
        <v>27</v>
      </c>
      <c r="C30" s="102" t="str">
        <f>Расчет!B30</f>
        <v>Масло растительное, рафинированное</v>
      </c>
      <c r="D30" s="98" t="s">
        <v>44</v>
      </c>
      <c r="E30" s="100">
        <f>Расчет!M30</f>
        <v>0</v>
      </c>
    </row>
    <row r="31" spans="2:5" ht="15">
      <c r="B31" s="98">
        <v>28</v>
      </c>
      <c r="C31" s="102" t="str">
        <f>Расчет!B31</f>
        <v>Рыба с/м (1 сорт), минтай</v>
      </c>
      <c r="D31" s="98" t="s">
        <v>44</v>
      </c>
      <c r="E31" s="100">
        <f>Расчет!M31</f>
        <v>8</v>
      </c>
    </row>
    <row r="32" spans="2:5" ht="15">
      <c r="B32" s="98">
        <v>29</v>
      </c>
      <c r="C32" s="102">
        <f>Расчет!B32</f>
        <v>0</v>
      </c>
      <c r="D32" s="98" t="s">
        <v>44</v>
      </c>
      <c r="E32" s="100">
        <f>Расчет!M32</f>
        <v>0</v>
      </c>
    </row>
    <row r="33" spans="2:5" ht="15">
      <c r="B33" s="98">
        <v>30</v>
      </c>
      <c r="C33" s="102" t="str">
        <f>Расчет!B33</f>
        <v>Мука пшеничная (высший сорт)</v>
      </c>
      <c r="D33" s="98" t="s">
        <v>44</v>
      </c>
      <c r="E33" s="100">
        <f>Расчет!M33</f>
        <v>11.3</v>
      </c>
    </row>
    <row r="34" spans="2:5" ht="15">
      <c r="B34" s="98">
        <v>31</v>
      </c>
      <c r="C34" s="102" t="str">
        <f>Расчет!B34</f>
        <v>Крупа гречневая, в инд. уп.</v>
      </c>
      <c r="D34" s="98" t="s">
        <v>44</v>
      </c>
      <c r="E34" s="100">
        <f>Расчет!M34</f>
        <v>8</v>
      </c>
    </row>
    <row r="35" spans="2:5" ht="15">
      <c r="B35" s="98">
        <v>32</v>
      </c>
      <c r="C35" s="102" t="str">
        <f>Расчет!B35</f>
        <v>Крупа манная (1 сорт), в инд. уп.</v>
      </c>
      <c r="D35" s="98" t="s">
        <v>45</v>
      </c>
      <c r="E35" s="100">
        <f>Расчет!M35</f>
        <v>0</v>
      </c>
    </row>
    <row r="36" spans="2:5" ht="16.5" customHeight="1">
      <c r="B36" s="98">
        <v>33</v>
      </c>
      <c r="C36" s="102" t="str">
        <f>Расчет!B36</f>
        <v>Рис (1 сорт), в инд. уп.</v>
      </c>
      <c r="D36" s="98" t="s">
        <v>44</v>
      </c>
      <c r="E36" s="100">
        <f>Расчет!M36</f>
        <v>4.7</v>
      </c>
    </row>
    <row r="37" spans="2:5" ht="15">
      <c r="B37" s="98">
        <v>34</v>
      </c>
      <c r="C37" s="102" t="str">
        <f>Расчет!B37</f>
        <v>Крупа пшеничная (1 сорт), в инд. уп.</v>
      </c>
      <c r="D37" s="98" t="s">
        <v>44</v>
      </c>
      <c r="E37" s="100">
        <f>Расчет!M37</f>
        <v>0</v>
      </c>
    </row>
    <row r="38" spans="2:5" ht="15">
      <c r="B38" s="98">
        <v>35</v>
      </c>
      <c r="C38" s="102" t="str">
        <f>Расчет!B38</f>
        <v>Пшено (1 сорт), в инд. уп.</v>
      </c>
      <c r="D38" s="98" t="s">
        <v>44</v>
      </c>
      <c r="E38" s="100">
        <f>Расчет!M38</f>
        <v>3.2</v>
      </c>
    </row>
    <row r="39" spans="2:5" ht="15">
      <c r="B39" s="98">
        <v>36</v>
      </c>
      <c r="C39" s="102" t="str">
        <f>Расчет!B39</f>
        <v>Горох шлифованный, в инд. уп.</v>
      </c>
      <c r="D39" s="98" t="s">
        <v>44</v>
      </c>
      <c r="E39" s="100">
        <f>Расчет!M39</f>
        <v>1.6</v>
      </c>
    </row>
    <row r="40" spans="2:5" ht="15">
      <c r="B40" s="98">
        <v>37</v>
      </c>
      <c r="C40" s="102" t="str">
        <f>Расчет!B40</f>
        <v>Крупа перловая, в инд. уп.</v>
      </c>
      <c r="D40" s="98" t="s">
        <v>44</v>
      </c>
      <c r="E40" s="100">
        <f>Расчет!M40</f>
        <v>0</v>
      </c>
    </row>
    <row r="41" spans="2:5" ht="15">
      <c r="B41" s="98">
        <v>38</v>
      </c>
      <c r="C41" s="102" t="str">
        <f>Расчет!B41</f>
        <v>Крупа ячневая, в инд. уп.</v>
      </c>
      <c r="D41" s="98" t="s">
        <v>44</v>
      </c>
      <c r="E41" s="100">
        <f>Расчет!M41</f>
        <v>19</v>
      </c>
    </row>
    <row r="42" spans="2:5" ht="15">
      <c r="B42" s="98">
        <v>39</v>
      </c>
      <c r="C42" s="102" t="str">
        <f>Расчет!B42</f>
        <v>Хлопья "Геркулес", в инд. уп.</v>
      </c>
      <c r="D42" s="98" t="s">
        <v>44</v>
      </c>
      <c r="E42" s="100">
        <f>Расчет!M42</f>
        <v>0</v>
      </c>
    </row>
    <row r="43" spans="2:5" ht="15">
      <c r="B43" s="98">
        <v>40</v>
      </c>
      <c r="C43" s="102" t="str">
        <f>Расчет!B43</f>
        <v>Сахар-песок</v>
      </c>
      <c r="D43" s="98" t="s">
        <v>44</v>
      </c>
      <c r="E43" s="100">
        <f>Расчет!M43</f>
        <v>5.5</v>
      </c>
    </row>
    <row r="44" spans="2:5" ht="15">
      <c r="B44" s="98">
        <v>41</v>
      </c>
      <c r="C44" s="102" t="str">
        <f>Расчет!B44</f>
        <v>Макароны (высший сорт)</v>
      </c>
      <c r="D44" s="98" t="s">
        <v>44</v>
      </c>
      <c r="E44" s="100">
        <f>Расчет!M44</f>
        <v>0</v>
      </c>
    </row>
    <row r="45" spans="2:5" ht="15">
      <c r="B45" s="98">
        <v>42</v>
      </c>
      <c r="C45" s="102" t="str">
        <f>Расчет!B45</f>
        <v>Вермишель (высший сорт)</v>
      </c>
      <c r="D45" s="98" t="s">
        <v>44</v>
      </c>
      <c r="E45" s="100">
        <f>Расчет!M45</f>
        <v>0</v>
      </c>
    </row>
    <row r="46" spans="2:5" ht="15">
      <c r="B46" s="98">
        <v>43</v>
      </c>
      <c r="C46" s="102" t="str">
        <f>Расчет!B46</f>
        <v>Дрожжи сухие</v>
      </c>
      <c r="D46" s="98" t="s">
        <v>44</v>
      </c>
      <c r="E46" s="100">
        <f>Расчет!M46</f>
        <v>0.3</v>
      </c>
    </row>
    <row r="47" spans="2:5" ht="15">
      <c r="B47" s="98">
        <v>44</v>
      </c>
      <c r="C47" s="102" t="str">
        <f>Расчет!B47</f>
        <v>Соль йодированная</v>
      </c>
      <c r="D47" s="98" t="s">
        <v>44</v>
      </c>
      <c r="E47" s="100">
        <f>Расчет!M47</f>
        <v>0</v>
      </c>
    </row>
    <row r="48" spans="2:5" ht="15">
      <c r="B48" s="98">
        <v>45</v>
      </c>
      <c r="C48" s="102">
        <f>Расчет!B48</f>
        <v>0</v>
      </c>
      <c r="D48" s="98" t="s">
        <v>44</v>
      </c>
      <c r="E48" s="100">
        <f>Расчет!M48</f>
        <v>0</v>
      </c>
    </row>
    <row r="49" spans="2:5" ht="15">
      <c r="B49" s="98">
        <v>46</v>
      </c>
      <c r="C49" s="102" t="str">
        <f>Расчет!B49</f>
        <v>Кофейный напиток (ячменный)</v>
      </c>
      <c r="D49" s="98" t="s">
        <v>44</v>
      </c>
      <c r="E49" s="100">
        <f>Расчет!M49</f>
        <v>0</v>
      </c>
    </row>
    <row r="50" spans="2:5" ht="15">
      <c r="B50" s="98">
        <v>47</v>
      </c>
      <c r="C50" s="102" t="str">
        <f>Расчет!B50</f>
        <v>Какао порошок</v>
      </c>
      <c r="D50" s="98" t="s">
        <v>44</v>
      </c>
      <c r="E50" s="100">
        <f>Расчет!M50</f>
        <v>0</v>
      </c>
    </row>
    <row r="51" spans="2:5" ht="15">
      <c r="B51" s="98">
        <v>48</v>
      </c>
      <c r="C51" s="102" t="str">
        <f>Расчет!B51</f>
        <v>Чай черный (1 сорт)</v>
      </c>
      <c r="D51" s="98" t="s">
        <v>44</v>
      </c>
      <c r="E51" s="100">
        <f>Расчет!M51</f>
        <v>0.8</v>
      </c>
    </row>
    <row r="52" spans="2:15" ht="15">
      <c r="B52" s="98">
        <v>49</v>
      </c>
      <c r="C52" s="102" t="str">
        <f>Расчет!B52</f>
        <v>Лавровый лист</v>
      </c>
      <c r="D52" s="98" t="s">
        <v>44</v>
      </c>
      <c r="E52" s="100">
        <f>Расчет!M52</f>
        <v>0</v>
      </c>
      <c r="O52" s="105"/>
    </row>
    <row r="53" spans="2:5" ht="15">
      <c r="B53" s="98">
        <v>50</v>
      </c>
      <c r="C53" s="102" t="str">
        <f>Расчет!B53</f>
        <v>Хлеб пшеничный</v>
      </c>
      <c r="D53" s="98" t="s">
        <v>44</v>
      </c>
      <c r="E53" s="100">
        <f>Расчет!M53</f>
        <v>0</v>
      </c>
    </row>
    <row r="54" spans="2:5" ht="15">
      <c r="B54" s="98">
        <v>51</v>
      </c>
      <c r="C54" s="102" t="str">
        <f>Расчет!B54</f>
        <v>Хлеб ржаной</v>
      </c>
      <c r="D54" s="98" t="s">
        <v>44</v>
      </c>
      <c r="E54" s="100">
        <f>Расчет!M54</f>
        <v>0</v>
      </c>
    </row>
    <row r="55" spans="2:5" ht="15">
      <c r="B55" s="98">
        <v>52</v>
      </c>
      <c r="C55" s="102" t="str">
        <f>Расчет!B55</f>
        <v>Печенье в ассортименте</v>
      </c>
      <c r="D55" s="98" t="s">
        <v>44</v>
      </c>
      <c r="E55" s="100">
        <f>Расчет!M55</f>
        <v>0</v>
      </c>
    </row>
    <row r="56" ht="12.75">
      <c r="C56" s="104"/>
    </row>
    <row r="57" ht="12.75">
      <c r="B57" t="s">
        <v>96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кадров</cp:lastModifiedBy>
  <cp:lastPrinted>2024-02-09T14:30:43Z</cp:lastPrinted>
  <dcterms:created xsi:type="dcterms:W3CDTF">2008-09-10T13:23:40Z</dcterms:created>
  <dcterms:modified xsi:type="dcterms:W3CDTF">2008-01-01T03:53:59Z</dcterms:modified>
  <cp:category/>
  <cp:version/>
  <cp:contentType/>
  <cp:contentStatus/>
</cp:coreProperties>
</file>